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8340" activeTab="0"/>
  </bookViews>
  <sheets>
    <sheet name="Building Heating Steam" sheetId="1" r:id="rId1"/>
    <sheet name="Steam Trap Loss Estimator" sheetId="2" r:id="rId2"/>
    <sheet name="Steam Table" sheetId="3" r:id="rId3"/>
  </sheets>
  <definedNames>
    <definedName name="psia">'Steam Table'!$C$16:$C$55</definedName>
  </definedNames>
  <calcPr fullCalcOnLoad="1"/>
</workbook>
</file>

<file path=xl/comments1.xml><?xml version="1.0" encoding="utf-8"?>
<comments xmlns="http://schemas.openxmlformats.org/spreadsheetml/2006/main">
  <authors>
    <author>Brian Dunn</author>
  </authors>
  <commentList>
    <comment ref="O47" authorId="0">
      <text>
        <r>
          <rPr>
            <b/>
            <sz val="8"/>
            <rFont val="Tahoma"/>
            <family val="0"/>
          </rPr>
          <t>Brian Dunn:</t>
        </r>
        <r>
          <rPr>
            <sz val="8"/>
            <rFont val="Tahoma"/>
            <family val="0"/>
          </rPr>
          <t xml:space="preserve">
Can not determine the basis of the estimates provided by this source. The rates are similar to those found in the estimator based on Grashof's equation, but not exact.</t>
        </r>
      </text>
    </comment>
    <comment ref="D30" authorId="0">
      <text>
        <r>
          <rPr>
            <b/>
            <sz val="8"/>
            <rFont val="Tahoma"/>
            <family val="0"/>
          </rPr>
          <t>Brian Dunn:</t>
        </r>
        <r>
          <rPr>
            <sz val="8"/>
            <rFont val="Tahoma"/>
            <family val="0"/>
          </rPr>
          <t xml:space="preserve">
These hours have little effect on the total.</t>
        </r>
      </text>
    </comment>
    <comment ref="G50" authorId="0">
      <text>
        <r>
          <rPr>
            <b/>
            <sz val="8"/>
            <rFont val="Tahoma"/>
            <family val="0"/>
          </rPr>
          <t>Brian Dunn:</t>
        </r>
        <r>
          <rPr>
            <sz val="8"/>
            <rFont val="Tahoma"/>
            <family val="0"/>
          </rPr>
          <t xml:space="preserve">
Confirmed these numbers with Tim Thuemling</t>
        </r>
      </text>
    </comment>
    <comment ref="H57" authorId="0">
      <text>
        <r>
          <rPr>
            <b/>
            <sz val="8"/>
            <rFont val="Tahoma"/>
            <family val="0"/>
          </rPr>
          <t>Brian Dunn:</t>
        </r>
        <r>
          <rPr>
            <sz val="8"/>
            <rFont val="Tahoma"/>
            <family val="0"/>
          </rPr>
          <t xml:space="preserve">
Confirmed these numbers with Tim Thuemling</t>
        </r>
      </text>
    </comment>
    <comment ref="H70" authorId="0">
      <text>
        <r>
          <rPr>
            <b/>
            <sz val="8"/>
            <rFont val="Tahoma"/>
            <family val="0"/>
          </rPr>
          <t>Brian Dunn:</t>
        </r>
        <r>
          <rPr>
            <sz val="8"/>
            <rFont val="Tahoma"/>
            <family val="0"/>
          </rPr>
          <t xml:space="preserve">
Confirmed these numbers with Tim Thuemling</t>
        </r>
      </text>
    </comment>
  </commentList>
</comments>
</file>

<file path=xl/sharedStrings.xml><?xml version="1.0" encoding="utf-8"?>
<sst xmlns="http://schemas.openxmlformats.org/spreadsheetml/2006/main" count="192" uniqueCount="161">
  <si>
    <t>Steam Pressure, psig</t>
  </si>
  <si>
    <t>Focus on Energy Business Programs Deemed Savings Calculation</t>
  </si>
  <si>
    <t>Group:</t>
  </si>
  <si>
    <t>Category:</t>
  </si>
  <si>
    <t>Description:</t>
  </si>
  <si>
    <t>Developed by:</t>
  </si>
  <si>
    <t>Submitted by:</t>
  </si>
  <si>
    <t>Andrew Kotila</t>
  </si>
  <si>
    <t>Quality group release date:</t>
  </si>
  <si>
    <t>Evaluation approval date:</t>
  </si>
  <si>
    <t>Evaluator:</t>
  </si>
  <si>
    <t>Energy lost per year through leaks (therms/yr)</t>
  </si>
  <si>
    <t>Leaking Steam Trap Discharge Rate (lb/hr)</t>
  </si>
  <si>
    <t>Tech Code</t>
  </si>
  <si>
    <t>Measure Description</t>
  </si>
  <si>
    <t>Steam Trap</t>
  </si>
  <si>
    <t>Market Prevalence</t>
  </si>
  <si>
    <t>Trap Orifice Diameter (inches)</t>
  </si>
  <si>
    <t>This is what we seek to deem:</t>
  </si>
  <si>
    <t>Annual therm savings per leaking trap repaired</t>
  </si>
  <si>
    <t>Assumptions:</t>
  </si>
  <si>
    <t>Steam is produced through the combustion of natural gas.</t>
  </si>
  <si>
    <t>Leaking Steam Trap Discharge Rate:</t>
  </si>
  <si>
    <t>HVAC</t>
  </si>
  <si>
    <t>Steam trap operating hours per year:</t>
  </si>
  <si>
    <t>Therefore, market weighted energy lost through leaking steam traps in building heating systems:</t>
  </si>
  <si>
    <t>therms</t>
  </si>
  <si>
    <t>Thermostatic steam traps make up about 90% of the population, mechanical (F&amp;T) traps make up 10%</t>
  </si>
  <si>
    <t>http://uesystems.com/tech_support_charts_steam_loss.asp</t>
  </si>
  <si>
    <t xml:space="preserve">Chart Source: </t>
  </si>
  <si>
    <t>prevalence</t>
  </si>
  <si>
    <t>Thermostatic Steam Trap:</t>
  </si>
  <si>
    <t>Mechanical (F&amp;T) Steam Trap:</t>
  </si>
  <si>
    <t>weighted average therms</t>
  </si>
  <si>
    <t>Annual energy lost, weighted by prevalence of pressure:</t>
  </si>
  <si>
    <t>4.1000.390</t>
  </si>
  <si>
    <t>(accessed 26-Mar-08)</t>
  </si>
  <si>
    <t>Note to evaluator: These savings values are intended to replace the previously deemed savings value for tech code 4.1000</t>
  </si>
  <si>
    <t>This measure is not intended for industrial process steam systems.</t>
  </si>
  <si>
    <t>4.1000</t>
  </si>
  <si>
    <t>Tech Code:</t>
  </si>
  <si>
    <t>Repair leaking steam trap, building space conditioning system</t>
  </si>
  <si>
    <t xml:space="preserve">Source of market prevalence of trap orifice sizes and actual operating </t>
  </si>
  <si>
    <t xml:space="preserve">Note: these three orifice sizes are most common in building conditioning steam systems, </t>
  </si>
  <si>
    <r>
      <t xml:space="preserve">Steam traps are used on a system where the steam use is for </t>
    </r>
    <r>
      <rPr>
        <b/>
        <sz val="10"/>
        <rFont val="Arial"/>
        <family val="2"/>
      </rPr>
      <t xml:space="preserve">building space conditioning </t>
    </r>
    <r>
      <rPr>
        <sz val="10"/>
        <rFont val="Arial"/>
        <family val="2"/>
      </rPr>
      <t>(space heating)</t>
    </r>
    <r>
      <rPr>
        <sz val="10"/>
        <rFont val="Arial"/>
        <family val="0"/>
      </rPr>
      <t>.</t>
    </r>
  </si>
  <si>
    <t>Steam System Absolute Pressure</t>
  </si>
  <si>
    <t>psia</t>
  </si>
  <si>
    <t>Steam System Gauge Pressure</t>
  </si>
  <si>
    <t>psig</t>
  </si>
  <si>
    <t>Condensate System Absolute Pressure</t>
  </si>
  <si>
    <t>Condensate System Gauge Pressure</t>
  </si>
  <si>
    <t>Operating Hours</t>
  </si>
  <si>
    <t>hours/year</t>
  </si>
  <si>
    <t>Latent heat of steam</t>
  </si>
  <si>
    <t>btu/lb</t>
  </si>
  <si>
    <t>Heat of Saturated liquid at steam pressure</t>
  </si>
  <si>
    <t>Heat of Saturated liquid at condensate pressure</t>
  </si>
  <si>
    <t>Makeup water temp</t>
  </si>
  <si>
    <t>deg F</t>
  </si>
  <si>
    <t>Heat of Saturated liquid for makeup water</t>
  </si>
  <si>
    <t>Percent Condensate Lost</t>
  </si>
  <si>
    <t>Orifice size</t>
  </si>
  <si>
    <t>Diameter</t>
  </si>
  <si>
    <t>Area</t>
  </si>
  <si>
    <t>lb steam/hr</t>
  </si>
  <si>
    <t>1/32</t>
  </si>
  <si>
    <t>1/16</t>
  </si>
  <si>
    <t>3/32</t>
  </si>
  <si>
    <t>1/8</t>
  </si>
  <si>
    <t>5/32</t>
  </si>
  <si>
    <t>3/16</t>
  </si>
  <si>
    <t>7/32</t>
  </si>
  <si>
    <t>1/4</t>
  </si>
  <si>
    <t>9/32</t>
  </si>
  <si>
    <t>5/16</t>
  </si>
  <si>
    <t>11/32</t>
  </si>
  <si>
    <t>3/8</t>
  </si>
  <si>
    <t>13/32</t>
  </si>
  <si>
    <t>7/16</t>
  </si>
  <si>
    <t>15/32</t>
  </si>
  <si>
    <t>1/2</t>
  </si>
  <si>
    <t>Col. 1</t>
  </si>
  <si>
    <t>Col. 2</t>
  </si>
  <si>
    <t>Col. 3</t>
  </si>
  <si>
    <t>Col. 4</t>
  </si>
  <si>
    <t>Col. 5</t>
  </si>
  <si>
    <t>Col. 6</t>
  </si>
  <si>
    <t>Col. 7</t>
  </si>
  <si>
    <t>Col. 8</t>
  </si>
  <si>
    <t>Gauge</t>
  </si>
  <si>
    <t>Absolute</t>
  </si>
  <si>
    <t>Steam</t>
  </si>
  <si>
    <t>Heat of</t>
  </si>
  <si>
    <t>Latent</t>
  </si>
  <si>
    <t>Total Heat</t>
  </si>
  <si>
    <t>Specific</t>
  </si>
  <si>
    <t>Pressure</t>
  </si>
  <si>
    <t>Temp.</t>
  </si>
  <si>
    <t>Sat. Liquid</t>
  </si>
  <si>
    <t>Heat</t>
  </si>
  <si>
    <t>of Steam</t>
  </si>
  <si>
    <t>Volume of</t>
  </si>
  <si>
    <t>(psia)</t>
  </si>
  <si>
    <t>(°F)</t>
  </si>
  <si>
    <t>(Btu/lb)</t>
  </si>
  <si>
    <t>Sat. Steam</t>
  </si>
  <si>
    <t>(cu ft/lb)</t>
  </si>
  <si>
    <t>lb/hr (thermostatic)</t>
  </si>
  <si>
    <t>lb/hr (F&amp;T)</t>
  </si>
  <si>
    <t>Assumed equivalent orifice size:</t>
  </si>
  <si>
    <t>Steam Trap Performance Assessment, Advanced technologies for evaluating the performance of steam traps, Federal Technology Alerts</t>
  </si>
  <si>
    <t xml:space="preserve">http://www.plantsupport.com/download/Steam%20Trap%20Performance%20Assessment.pdf </t>
  </si>
  <si>
    <t>(accessed 18 June 2009)</t>
  </si>
  <si>
    <t>Chart Source:</t>
  </si>
  <si>
    <t>Steam Trap Loss Estimator</t>
  </si>
  <si>
    <t>lb steam/hr equation source:</t>
  </si>
  <si>
    <t>Grashof's Equation:</t>
  </si>
  <si>
    <t>Q=0.7 x 0.0165 x 3600 x A x P^0.97</t>
  </si>
  <si>
    <t>where:</t>
  </si>
  <si>
    <t>Q = flow rate of steam in lbs/hour</t>
  </si>
  <si>
    <t>0.7 is the coefficient of discharge for hole</t>
  </si>
  <si>
    <t>A is the area of hole (in2)</t>
  </si>
  <si>
    <t>P is the pressure inside the steam line (psia)</t>
  </si>
  <si>
    <t>http://memagazine.asme.org/articles/2009/February/Technology_Focus.cfm</t>
  </si>
  <si>
    <t>This equation was used to produce the following graph:</t>
  </si>
  <si>
    <t xml:space="preserve">from </t>
  </si>
  <si>
    <t xml:space="preserve">http://www1.eere.energy.gov/femp/pdfs/FTA_SteamTrap.pdf </t>
  </si>
  <si>
    <t>This graph is often quoted as the source for energy loss due to steam trap leaks. It assumes any steam lost through the trap is lost. There is no condensate, all condensate must be replaced by make-up water at 60 deg F (energy and condensate are both lost). For steam traps returning condensate, the will overstate the energy lost.</t>
  </si>
  <si>
    <t>Steam Trap Performance Assessment, Advanced Technologies for evaluating the performance of steam traps, FEMP, DOE/EE-0193</t>
  </si>
  <si>
    <t>Boiler operating days per year: Assume the boiler is operating any day the high temp is below 65 degrees F</t>
  </si>
  <si>
    <t xml:space="preserve">Average of estimated days for EauClaire, LaCrosse, GreenBay, Milwaukee, and Madison based on TMY2 data </t>
  </si>
  <si>
    <t xml:space="preserve">Thermostatic Steam Trap </t>
  </si>
  <si>
    <t xml:space="preserve">Mechanical (F&amp;T) Steam Trap </t>
  </si>
  <si>
    <t>Thermostatic steam trap operating hours per day: Using 7699 heating degree days for Wisconsin (based on Deeming Boilers Modulating 1May08), effective full load heating hours are 2310 hours (7699 HDD * 24 hours/day / (65 deg – (-15 deg)). Operating hours per day for thermostatic steam traps can be estimated as 2310 hours / 226 days = 10.2 hours/day</t>
  </si>
  <si>
    <t>Mechanical (F&amp;T) steam trap operating hours per day: Building heating boilers normally operate 24 hrs/day. In a rare instance, the boiler is turned off during the night, therefore 24 hour operation is being reduced to 22 hours to remain conservative.</t>
  </si>
  <si>
    <t xml:space="preserve">Standard boiler efficiency. According to the Natural Gas Boiler Burner Consortium typical boiler efficiency will be in the 75 - 85% range. </t>
  </si>
  <si>
    <t>http://www.energysolutionscenter.org/boilerburner/Eff_Improve/Primer/Boiler_Introduction.asp</t>
  </si>
  <si>
    <t>Percentage of heat lost through steam traps that continues to provide heat to the building</t>
  </si>
  <si>
    <t xml:space="preserve">Where the condensate lines run through conditioned space, the heat "wasted" by leaking traps can still add heat to the building. </t>
  </si>
  <si>
    <t xml:space="preserve">Where condensate lines run in unconditioned spaces (such as steam tunnels, the "wasted" heat is lost. We assume </t>
  </si>
  <si>
    <t>the deemed savings that most condensate lines are running in steam tunnels and none of the waste heat provides heating for the building.</t>
  </si>
  <si>
    <t xml:space="preserve">80% is the midpoint of the range. This is at the high end for a typical steam boiler without heat recovery, </t>
  </si>
  <si>
    <t>however, heat recovery systems are installed on many boiler plants increasing the efficiency fo the base system.</t>
  </si>
  <si>
    <t>Brian Dunn, KEMA</t>
  </si>
  <si>
    <t>Evaluation revisions</t>
  </si>
  <si>
    <t>per Tim Thuemling (steam trap maintenance service provider), July 2009.</t>
  </si>
  <si>
    <t>steam pressure: Interview with Tim Thuemling, July 2009.</t>
  </si>
  <si>
    <t>steam pressure: Interview with Tim Theumling, July 2009.</t>
  </si>
  <si>
    <t xml:space="preserve">F&amp;T traps are designed to fail closed but can fail open. According to Mr. Thuemling, these traps will fail open 66 % of the time. </t>
  </si>
  <si>
    <t>For every 100 traps then, we assume 90 are thermostatic and 10 are F&amp;T.</t>
  </si>
  <si>
    <t>Thermostatic</t>
  </si>
  <si>
    <t>F&amp;T</t>
  </si>
  <si>
    <t>Fail open rate</t>
  </si>
  <si>
    <t>Weight</t>
  </si>
  <si>
    <t>Latent heat content of steam for 5 psig system (Btu per lb)</t>
  </si>
  <si>
    <t>Latent heat content of steam for 10 psig system (Btu per lb)</t>
  </si>
  <si>
    <t>Latent heat content of steam for 15 psig system (Btu per lb)</t>
  </si>
  <si>
    <t>Percent Trap Open</t>
  </si>
  <si>
    <t>Assumed population percentages</t>
  </si>
  <si>
    <t>Assumed population percentages that fail open</t>
  </si>
  <si>
    <t>MMBTU/year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</si>
</sst>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mmm\-yy;@"/>
    <numFmt numFmtId="167" formatCode="0.0%"/>
    <numFmt numFmtId="168" formatCode="0.0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00000"/>
    <numFmt numFmtId="175" formatCode="0.00000"/>
    <numFmt numFmtId="176" formatCode="0.000"/>
  </numFmts>
  <fonts count="13">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2"/>
      <name val="Arial"/>
      <family val="2"/>
    </font>
    <font>
      <sz val="10"/>
      <color indexed="10"/>
      <name val="Arial"/>
      <family val="0"/>
    </font>
    <font>
      <b/>
      <sz val="10"/>
      <color indexed="14"/>
      <name val="Arial"/>
      <family val="2"/>
    </font>
    <font>
      <sz val="10"/>
      <color indexed="14"/>
      <name val="Arial"/>
      <family val="2"/>
    </font>
    <font>
      <b/>
      <sz val="10"/>
      <color indexed="10"/>
      <name val="Arial"/>
      <family val="2"/>
    </font>
    <font>
      <sz val="8"/>
      <name val="Tahoma"/>
      <family val="0"/>
    </font>
    <font>
      <b/>
      <sz val="8"/>
      <name val="Tahoma"/>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ck"/>
      <right style="thin"/>
      <top style="thick"/>
      <bottom style="medium"/>
    </border>
    <border>
      <left style="thin"/>
      <right style="thin"/>
      <top style="thick"/>
      <bottom style="medium"/>
    </border>
    <border>
      <left>
        <color indexed="63"/>
      </left>
      <right>
        <color indexed="63"/>
      </right>
      <top style="thick"/>
      <bottom style="medium"/>
    </border>
    <border>
      <left>
        <color indexed="63"/>
      </left>
      <right style="thick"/>
      <top style="thick"/>
      <bottom style="medium"/>
    </border>
    <border>
      <left style="thick"/>
      <right style="thin"/>
      <top>
        <color indexed="63"/>
      </top>
      <bottom style="thick"/>
    </border>
    <border>
      <left style="thin"/>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2" borderId="1" xfId="0" applyFill="1" applyBorder="1" applyAlignment="1">
      <alignment/>
    </xf>
    <xf numFmtId="0" fontId="5" fillId="0" borderId="0" xfId="0" applyFont="1" applyAlignment="1">
      <alignment/>
    </xf>
    <xf numFmtId="0" fontId="4" fillId="0" borderId="0" xfId="0" applyFont="1" applyAlignment="1">
      <alignment/>
    </xf>
    <xf numFmtId="0" fontId="0" fillId="0" borderId="0" xfId="0" applyFont="1" applyAlignment="1">
      <alignment/>
    </xf>
    <xf numFmtId="166" fontId="0" fillId="0" borderId="0" xfId="0" applyNumberFormat="1" applyFont="1" applyAlignment="1">
      <alignment horizontal="left"/>
    </xf>
    <xf numFmtId="15" fontId="0" fillId="0" borderId="0" xfId="0" applyNumberFormat="1" applyAlignment="1">
      <alignment horizontal="left"/>
    </xf>
    <xf numFmtId="0" fontId="0" fillId="0" borderId="2" xfId="0" applyBorder="1" applyAlignment="1">
      <alignment horizontal="center" wrapText="1"/>
    </xf>
    <xf numFmtId="0" fontId="2" fillId="0" borderId="0" xfId="20" applyAlignment="1">
      <alignment/>
    </xf>
    <xf numFmtId="0" fontId="0" fillId="0" borderId="0" xfId="0" applyAlignment="1">
      <alignment horizontal="right"/>
    </xf>
    <xf numFmtId="9" fontId="0" fillId="0" borderId="1" xfId="0" applyNumberFormat="1" applyBorder="1" applyAlignment="1">
      <alignment horizontal="center"/>
    </xf>
    <xf numFmtId="13" fontId="0" fillId="0" borderId="1" xfId="0" applyNumberFormat="1" applyBorder="1" applyAlignment="1">
      <alignment horizontal="center"/>
    </xf>
    <xf numFmtId="0" fontId="7" fillId="0" borderId="0" xfId="0" applyFont="1" applyAlignment="1">
      <alignment/>
    </xf>
    <xf numFmtId="0" fontId="0" fillId="0" borderId="0" xfId="0" applyFill="1" applyBorder="1" applyAlignment="1">
      <alignment/>
    </xf>
    <xf numFmtId="0" fontId="8" fillId="0" borderId="0" xfId="0" applyFont="1" applyAlignment="1">
      <alignment/>
    </xf>
    <xf numFmtId="0" fontId="0" fillId="0" borderId="0" xfId="0" applyNumberFormat="1" applyAlignment="1">
      <alignment/>
    </xf>
    <xf numFmtId="0" fontId="6" fillId="0" borderId="0" xfId="0" applyFont="1" applyAlignment="1">
      <alignment horizontal="center"/>
    </xf>
    <xf numFmtId="1" fontId="0" fillId="0" borderId="0" xfId="0" applyNumberFormat="1" applyAlignment="1">
      <alignment/>
    </xf>
    <xf numFmtId="165" fontId="2" fillId="0" borderId="0" xfId="20" applyNumberFormat="1" applyFill="1" applyBorder="1" applyAlignment="1">
      <alignment/>
    </xf>
    <xf numFmtId="0" fontId="0" fillId="0" borderId="2" xfId="0" applyBorder="1" applyAlignment="1">
      <alignment wrapText="1"/>
    </xf>
    <xf numFmtId="9" fontId="0" fillId="0" borderId="0" xfId="20" applyNumberFormat="1" applyFont="1" applyFill="1" applyBorder="1" applyAlignment="1">
      <alignment horizontal="left"/>
    </xf>
    <xf numFmtId="1" fontId="0" fillId="0" borderId="1" xfId="0" applyNumberFormat="1" applyBorder="1" applyAlignment="1">
      <alignment horizontal="right"/>
    </xf>
    <xf numFmtId="13" fontId="0" fillId="0" borderId="0" xfId="0" applyNumberFormat="1" applyBorder="1" applyAlignment="1">
      <alignment horizontal="center"/>
    </xf>
    <xf numFmtId="1" fontId="0" fillId="0" borderId="0" xfId="0" applyNumberFormat="1" applyBorder="1" applyAlignment="1">
      <alignment horizontal="right"/>
    </xf>
    <xf numFmtId="0" fontId="0" fillId="0" borderId="0" xfId="0" applyFont="1" applyAlignment="1">
      <alignment horizontal="right"/>
    </xf>
    <xf numFmtId="9" fontId="0" fillId="0" borderId="1" xfId="0" applyNumberFormat="1" applyFill="1" applyBorder="1" applyAlignment="1">
      <alignment/>
    </xf>
    <xf numFmtId="0" fontId="9" fillId="0" borderId="0" xfId="0" applyFont="1" applyAlignment="1">
      <alignment/>
    </xf>
    <xf numFmtId="0" fontId="0" fillId="0" borderId="0" xfId="0" applyFont="1" applyAlignment="1" quotePrefix="1">
      <alignment/>
    </xf>
    <xf numFmtId="1" fontId="4" fillId="0" borderId="0" xfId="0" applyNumberFormat="1" applyFont="1" applyAlignment="1">
      <alignment/>
    </xf>
    <xf numFmtId="0" fontId="0" fillId="0" borderId="3" xfId="0" applyBorder="1" applyAlignment="1">
      <alignment horizontal="center"/>
    </xf>
    <xf numFmtId="0" fontId="0" fillId="0" borderId="4" xfId="0" applyBorder="1" applyAlignment="1">
      <alignment horizontal="center" wrapText="1"/>
    </xf>
    <xf numFmtId="0" fontId="0" fillId="0" borderId="5" xfId="0" applyBorder="1" applyAlignment="1">
      <alignment horizontal="left"/>
    </xf>
    <xf numFmtId="0" fontId="0" fillId="0" borderId="5" xfId="0" applyBorder="1" applyAlignment="1">
      <alignment/>
    </xf>
    <xf numFmtId="0" fontId="0" fillId="0" borderId="6" xfId="0" applyBorder="1" applyAlignment="1">
      <alignment/>
    </xf>
    <xf numFmtId="0" fontId="0" fillId="0" borderId="7" xfId="0" applyBorder="1" applyAlignment="1">
      <alignment horizontal="center"/>
    </xf>
    <xf numFmtId="3" fontId="0" fillId="3" borderId="8" xfId="0" applyNumberFormat="1" applyFill="1" applyBorder="1" applyAlignment="1">
      <alignment horizontal="center"/>
    </xf>
    <xf numFmtId="0" fontId="0" fillId="3" borderId="9" xfId="0" applyFill="1" applyBorder="1" applyAlignment="1">
      <alignment/>
    </xf>
    <xf numFmtId="0" fontId="0" fillId="3" borderId="10" xfId="0" applyFill="1" applyBorder="1" applyAlignment="1">
      <alignment/>
    </xf>
    <xf numFmtId="0" fontId="0" fillId="0" borderId="0" xfId="0" applyAlignment="1">
      <alignment wrapText="1"/>
    </xf>
    <xf numFmtId="0" fontId="0" fillId="4" borderId="0" xfId="0" applyFill="1" applyAlignment="1">
      <alignment/>
    </xf>
    <xf numFmtId="9" fontId="0" fillId="4" borderId="0" xfId="0" applyNumberFormat="1" applyFill="1" applyAlignment="1">
      <alignment/>
    </xf>
    <xf numFmtId="0" fontId="0" fillId="0" borderId="0" xfId="0" applyAlignment="1" quotePrefix="1">
      <alignment/>
    </xf>
    <xf numFmtId="13" fontId="0" fillId="0" borderId="0" xfId="0" applyNumberFormat="1" applyAlignment="1">
      <alignment/>
    </xf>
    <xf numFmtId="169" fontId="0" fillId="0" borderId="1" xfId="0" applyNumberFormat="1" applyBorder="1" applyAlignment="1">
      <alignment/>
    </xf>
    <xf numFmtId="9" fontId="0" fillId="0" borderId="0" xfId="21" applyAlignment="1">
      <alignment/>
    </xf>
    <xf numFmtId="9" fontId="0" fillId="0" borderId="0" xfId="0" applyNumberFormat="1" applyFill="1" applyBorder="1" applyAlignment="1">
      <alignment/>
    </xf>
    <xf numFmtId="0" fontId="0" fillId="0" borderId="0" xfId="0" applyFill="1" applyAlignment="1">
      <alignment/>
    </xf>
    <xf numFmtId="0" fontId="0" fillId="0" borderId="0" xfId="0" applyFill="1" applyAlignment="1">
      <alignment wrapText="1"/>
    </xf>
    <xf numFmtId="9" fontId="0" fillId="5" borderId="0" xfId="0" applyNumberFormat="1" applyFill="1" applyBorder="1" applyAlignment="1">
      <alignment/>
    </xf>
    <xf numFmtId="0" fontId="0" fillId="5" borderId="0" xfId="0" applyFill="1" applyBorder="1" applyAlignment="1">
      <alignment/>
    </xf>
    <xf numFmtId="9" fontId="0" fillId="5" borderId="0" xfId="21" applyFill="1" applyBorder="1" applyAlignment="1">
      <alignment/>
    </xf>
    <xf numFmtId="0" fontId="0" fillId="5" borderId="0" xfId="0" applyFill="1" applyAlignment="1">
      <alignment/>
    </xf>
    <xf numFmtId="169" fontId="0" fillId="5" borderId="0" xfId="0" applyNumberFormat="1" applyFill="1" applyAlignment="1">
      <alignment/>
    </xf>
    <xf numFmtId="15" fontId="0" fillId="0" borderId="0" xfId="0" applyNumberFormat="1" applyFill="1" applyAlignment="1">
      <alignment horizontal="left"/>
    </xf>
    <xf numFmtId="0" fontId="0" fillId="0" borderId="0" xfId="0" applyAlignment="1">
      <alignment/>
    </xf>
    <xf numFmtId="9" fontId="0" fillId="0" borderId="0" xfId="0" applyNumberFormat="1" applyAlignment="1">
      <alignment wrapText="1"/>
    </xf>
    <xf numFmtId="0" fontId="0" fillId="0" borderId="0" xfId="0" applyAlignment="1">
      <alignment wrapText="1"/>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2" xfId="0" applyBorder="1" applyAlignment="1">
      <alignment horizontal="center" wrapText="1"/>
    </xf>
    <xf numFmtId="3" fontId="0" fillId="0" borderId="1" xfId="0" applyNumberFormat="1" applyBorder="1" applyAlignment="1">
      <alignment horizontal="right"/>
    </xf>
    <xf numFmtId="3" fontId="0" fillId="0" borderId="0" xfId="0" applyNumberFormat="1" applyBorder="1" applyAlignment="1">
      <alignment horizontal="right"/>
    </xf>
    <xf numFmtId="169" fontId="0" fillId="0" borderId="0" xfId="0" applyNumberFormat="1" applyAlignment="1">
      <alignment/>
    </xf>
    <xf numFmtId="3" fontId="0" fillId="0" borderId="0" xfId="0" applyNumberFormat="1" applyFill="1" applyBorder="1" applyAlignment="1">
      <alignment/>
    </xf>
    <xf numFmtId="3" fontId="0" fillId="0" borderId="0" xfId="0" applyNumberFormat="1" applyFill="1" applyAlignment="1">
      <alignment/>
    </xf>
    <xf numFmtId="9" fontId="0" fillId="0" borderId="0" xfId="21"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Steam Trap Energy Loss</a:t>
            </a:r>
          </a:p>
        </c:rich>
      </c:tx>
      <c:layout/>
      <c:spPr>
        <a:noFill/>
        <a:ln>
          <a:noFill/>
        </a:ln>
      </c:spPr>
    </c:title>
    <c:plotArea>
      <c:layout>
        <c:manualLayout>
          <c:xMode val="edge"/>
          <c:yMode val="edge"/>
          <c:x val="0.05625"/>
          <c:y val="0.09"/>
          <c:w val="0.92725"/>
          <c:h val="0.8435"/>
        </c:manualLayout>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'Steam Trap Loss Estimator'!$A$16:$A$31</c:f>
              <c:strCache>
                <c:ptCount val="16"/>
                <c:pt idx="0">
                  <c:v>1/32</c:v>
                </c:pt>
                <c:pt idx="1">
                  <c:v>1/16</c:v>
                </c:pt>
                <c:pt idx="2">
                  <c:v>3/32</c:v>
                </c:pt>
                <c:pt idx="3">
                  <c:v>1/8</c:v>
                </c:pt>
                <c:pt idx="4">
                  <c:v>5/32</c:v>
                </c:pt>
                <c:pt idx="5">
                  <c:v>3/16</c:v>
                </c:pt>
                <c:pt idx="6">
                  <c:v>7/32</c:v>
                </c:pt>
                <c:pt idx="7">
                  <c:v>1/4</c:v>
                </c:pt>
                <c:pt idx="8">
                  <c:v>9/32</c:v>
                </c:pt>
                <c:pt idx="9">
                  <c:v>5/16</c:v>
                </c:pt>
                <c:pt idx="10">
                  <c:v>11/32</c:v>
                </c:pt>
                <c:pt idx="11">
                  <c:v>3/8</c:v>
                </c:pt>
                <c:pt idx="12">
                  <c:v>13/32</c:v>
                </c:pt>
                <c:pt idx="13">
                  <c:v>7/16</c:v>
                </c:pt>
                <c:pt idx="14">
                  <c:v>15/32</c:v>
                </c:pt>
                <c:pt idx="15">
                  <c:v>1/2</c:v>
                </c:pt>
              </c:strCache>
            </c:strRef>
          </c:cat>
          <c:val>
            <c:numRef>
              <c:f>'Steam Trap Loss Estimator'!$E$16:$E$31</c:f>
              <c:numCache>
                <c:ptCount val="16"/>
                <c:pt idx="0">
                  <c:v>3.5770564610043443</c:v>
                </c:pt>
                <c:pt idx="1">
                  <c:v>14.308225844017377</c:v>
                </c:pt>
                <c:pt idx="2">
                  <c:v>32.19350814903909</c:v>
                </c:pt>
                <c:pt idx="3">
                  <c:v>57.23290337606951</c:v>
                </c:pt>
                <c:pt idx="4">
                  <c:v>89.4264115251086</c:v>
                </c:pt>
                <c:pt idx="5">
                  <c:v>128.77403259615636</c:v>
                </c:pt>
                <c:pt idx="6">
                  <c:v>175.27576658921288</c:v>
                </c:pt>
                <c:pt idx="7">
                  <c:v>228.93161350427803</c:v>
                </c:pt>
                <c:pt idx="8">
                  <c:v>289.74157334135185</c:v>
                </c:pt>
                <c:pt idx="9">
                  <c:v>357.7056461004344</c:v>
                </c:pt>
                <c:pt idx="10">
                  <c:v>432.82383178152566</c:v>
                </c:pt>
                <c:pt idx="11">
                  <c:v>515.0961303846254</c:v>
                </c:pt>
                <c:pt idx="12">
                  <c:v>604.5225419097343</c:v>
                </c:pt>
                <c:pt idx="13">
                  <c:v>701.1030663568515</c:v>
                </c:pt>
                <c:pt idx="14">
                  <c:v>804.8377037259775</c:v>
                </c:pt>
                <c:pt idx="15">
                  <c:v>915.7264540171121</c:v>
                </c:pt>
              </c:numCache>
            </c:numRef>
          </c:val>
          <c:smooth val="0"/>
        </c:ser>
        <c:axId val="53433307"/>
        <c:axId val="48357624"/>
      </c:lineChart>
      <c:catAx>
        <c:axId val="53433307"/>
        <c:scaling>
          <c:orientation val="minMax"/>
        </c:scaling>
        <c:axPos val="b"/>
        <c:title>
          <c:tx>
            <c:rich>
              <a:bodyPr vert="horz" rot="0" anchor="ctr"/>
              <a:lstStyle/>
              <a:p>
                <a:pPr algn="ctr">
                  <a:defRPr/>
                </a:pPr>
                <a:r>
                  <a:rPr lang="en-US" cap="none" sz="1000" b="1" i="0" u="none" baseline="0">
                    <a:latin typeface="Arial"/>
                    <a:ea typeface="Arial"/>
                    <a:cs typeface="Arial"/>
                  </a:rPr>
                  <a:t>Orifice Size</a:t>
                </a:r>
              </a:p>
            </c:rich>
          </c:tx>
          <c:layout/>
          <c:overlay val="0"/>
          <c:spPr>
            <a:noFill/>
            <a:ln>
              <a:noFill/>
            </a:ln>
          </c:spPr>
        </c:title>
        <c:majorGridlines/>
        <c:delete val="0"/>
        <c:numFmt formatCode="General" sourceLinked="1"/>
        <c:majorTickMark val="in"/>
        <c:minorTickMark val="none"/>
        <c:tickLblPos val="nextTo"/>
        <c:crossAx val="48357624"/>
        <c:crosses val="autoZero"/>
        <c:auto val="1"/>
        <c:lblOffset val="100"/>
        <c:noMultiLvlLbl val="0"/>
      </c:catAx>
      <c:valAx>
        <c:axId val="48357624"/>
        <c:scaling>
          <c:orientation val="minMax"/>
        </c:scaling>
        <c:axPos val="l"/>
        <c:title>
          <c:tx>
            <c:rich>
              <a:bodyPr vert="horz" rot="-5400000" anchor="ctr"/>
              <a:lstStyle/>
              <a:p>
                <a:pPr algn="ctr">
                  <a:defRPr/>
                </a:pPr>
                <a:r>
                  <a:rPr lang="en-US" cap="none" sz="1000" b="1" i="0" u="none" baseline="0">
                    <a:latin typeface="Arial"/>
                    <a:ea typeface="Arial"/>
                    <a:cs typeface="Arial"/>
                  </a:rPr>
                  <a:t>Energy Loss (MMBTU/yr)</a:t>
                </a:r>
              </a:p>
            </c:rich>
          </c:tx>
          <c:layout/>
          <c:overlay val="0"/>
          <c:spPr>
            <a:noFill/>
            <a:ln>
              <a:noFill/>
            </a:ln>
          </c:spPr>
        </c:title>
        <c:majorGridlines/>
        <c:delete val="0"/>
        <c:numFmt formatCode="General" sourceLinked="1"/>
        <c:majorTickMark val="out"/>
        <c:minorTickMark val="none"/>
        <c:tickLblPos val="nextTo"/>
        <c:crossAx val="53433307"/>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533400</xdr:colOff>
      <xdr:row>80</xdr:row>
      <xdr:rowOff>0</xdr:rowOff>
    </xdr:from>
    <xdr:ext cx="76200" cy="200025"/>
    <xdr:sp>
      <xdr:nvSpPr>
        <xdr:cNvPr id="1" name="TextBox 1"/>
        <xdr:cNvSpPr txBox="1">
          <a:spLocks noChangeArrowheads="1"/>
        </xdr:cNvSpPr>
      </xdr:nvSpPr>
      <xdr:spPr>
        <a:xfrm>
          <a:off x="5715000" y="13820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533400</xdr:colOff>
      <xdr:row>79</xdr:row>
      <xdr:rowOff>0</xdr:rowOff>
    </xdr:from>
    <xdr:ext cx="76200" cy="200025"/>
    <xdr:sp>
      <xdr:nvSpPr>
        <xdr:cNvPr id="2" name="TextBox 3"/>
        <xdr:cNvSpPr txBox="1">
          <a:spLocks noChangeArrowheads="1"/>
        </xdr:cNvSpPr>
      </xdr:nvSpPr>
      <xdr:spPr>
        <a:xfrm>
          <a:off x="5715000" y="13658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9525</xdr:rowOff>
    </xdr:from>
    <xdr:to>
      <xdr:col>15</xdr:col>
      <xdr:colOff>352425</xdr:colOff>
      <xdr:row>23</xdr:row>
      <xdr:rowOff>66675</xdr:rowOff>
    </xdr:to>
    <xdr:graphicFrame>
      <xdr:nvGraphicFramePr>
        <xdr:cNvPr id="1" name="Chart 1"/>
        <xdr:cNvGraphicFramePr/>
      </xdr:nvGraphicFramePr>
      <xdr:xfrm>
        <a:off x="4495800" y="171450"/>
        <a:ext cx="5848350" cy="4943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0</xdr:rowOff>
    </xdr:from>
    <xdr:to>
      <xdr:col>7</xdr:col>
      <xdr:colOff>361950</xdr:colOff>
      <xdr:row>63</xdr:row>
      <xdr:rowOff>85725</xdr:rowOff>
    </xdr:to>
    <xdr:pic>
      <xdr:nvPicPr>
        <xdr:cNvPr id="2" name="Picture 3"/>
        <xdr:cNvPicPr preferRelativeResize="1">
          <a:picLocks noChangeAspect="1"/>
        </xdr:cNvPicPr>
      </xdr:nvPicPr>
      <xdr:blipFill>
        <a:blip r:embed="rId2"/>
        <a:stretch>
          <a:fillRect/>
        </a:stretch>
      </xdr:blipFill>
      <xdr:spPr>
        <a:xfrm>
          <a:off x="0" y="8124825"/>
          <a:ext cx="5476875" cy="348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esystems.com/tech_support_charts_steam_loss.asp" TargetMode="External" /><Relationship Id="rId2" Type="http://schemas.openxmlformats.org/officeDocument/2006/relationships/hyperlink" Target="http://www.plantsupport.com/download/Steam%20Trap%20Performance%20Assessment.pdf" TargetMode="External" /><Relationship Id="rId3" Type="http://schemas.openxmlformats.org/officeDocument/2006/relationships/hyperlink" Target="http://www.energysolutionscenter.org/boilerburner/Eff_Improve/Primer/Boiler_Introduction.asp"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emagazine.asme.org/articles/2009/February/Technology_Focus.cfm" TargetMode="External" /><Relationship Id="rId2" Type="http://schemas.openxmlformats.org/officeDocument/2006/relationships/hyperlink" Target="http://www1.eere.energy.gov/femp/pdfs/FTA_SteamTrap.pdf"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T96"/>
  <sheetViews>
    <sheetView tabSelected="1" workbookViewId="0" topLeftCell="A1">
      <selection activeCell="F66" sqref="F66"/>
    </sheetView>
  </sheetViews>
  <sheetFormatPr defaultColWidth="9.140625" defaultRowHeight="12.75"/>
  <cols>
    <col min="1" max="1" width="2.28125" style="0" customWidth="1"/>
    <col min="2" max="2" width="14.140625" style="0" customWidth="1"/>
    <col min="3" max="3" width="18.140625" style="0" customWidth="1"/>
    <col min="4" max="4" width="15.57421875" style="0" customWidth="1"/>
    <col min="5" max="5" width="18.140625" style="0" customWidth="1"/>
    <col min="6" max="6" width="9.421875" style="0" customWidth="1"/>
    <col min="7" max="7" width="11.140625" style="0" customWidth="1"/>
    <col min="8" max="8" width="12.7109375" style="0" customWidth="1"/>
    <col min="10" max="10" width="10.00390625" style="0" customWidth="1"/>
  </cols>
  <sheetData>
    <row r="1" spans="2:3" ht="15.75">
      <c r="B1" s="2" t="s">
        <v>1</v>
      </c>
      <c r="C1" s="2"/>
    </row>
    <row r="3" spans="2:3" ht="12.75">
      <c r="B3" s="3" t="s">
        <v>40</v>
      </c>
      <c r="C3" s="27" t="s">
        <v>39</v>
      </c>
    </row>
    <row r="4" spans="2:3" ht="12.75">
      <c r="B4" s="3" t="s">
        <v>2</v>
      </c>
      <c r="C4" s="4" t="s">
        <v>23</v>
      </c>
    </row>
    <row r="5" spans="2:3" ht="12.75">
      <c r="B5" s="3" t="s">
        <v>3</v>
      </c>
      <c r="C5" s="4" t="s">
        <v>15</v>
      </c>
    </row>
    <row r="6" spans="2:3" ht="12.75">
      <c r="B6" s="3" t="s">
        <v>4</v>
      </c>
      <c r="C6" s="4" t="s">
        <v>41</v>
      </c>
    </row>
    <row r="7" spans="2:3" ht="12.75">
      <c r="B7" s="3" t="s">
        <v>5</v>
      </c>
      <c r="C7" t="s">
        <v>7</v>
      </c>
    </row>
    <row r="8" spans="2:3" ht="12.75">
      <c r="B8" s="3" t="s">
        <v>6</v>
      </c>
      <c r="C8" t="s">
        <v>7</v>
      </c>
    </row>
    <row r="9" spans="2:5" ht="12.75">
      <c r="B9" s="3" t="s">
        <v>8</v>
      </c>
      <c r="D9" s="5">
        <v>39982</v>
      </c>
      <c r="E9" s="53" t="s">
        <v>144</v>
      </c>
    </row>
    <row r="10" spans="2:5" ht="12.75">
      <c r="B10" s="3" t="s">
        <v>9</v>
      </c>
      <c r="C10" s="3"/>
      <c r="D10" s="5"/>
      <c r="E10" s="6"/>
    </row>
    <row r="11" spans="2:3" ht="12.75">
      <c r="B11" s="3" t="s">
        <v>10</v>
      </c>
      <c r="C11" s="3" t="s">
        <v>143</v>
      </c>
    </row>
    <row r="12" spans="3:4" ht="12.75">
      <c r="C12" s="3"/>
      <c r="D12" s="3"/>
    </row>
    <row r="13" spans="2:4" ht="12.75">
      <c r="B13" s="14" t="s">
        <v>37</v>
      </c>
      <c r="C13" s="3"/>
      <c r="D13" s="3"/>
    </row>
    <row r="14" spans="3:4" ht="12.75">
      <c r="C14" s="3"/>
      <c r="D14" s="3"/>
    </row>
    <row r="15" ht="12.75">
      <c r="B15" s="3" t="s">
        <v>20</v>
      </c>
    </row>
    <row r="16" ht="12.75">
      <c r="C16" t="s">
        <v>44</v>
      </c>
    </row>
    <row r="17" ht="12.75">
      <c r="C17" t="s">
        <v>38</v>
      </c>
    </row>
    <row r="18" ht="12.75">
      <c r="C18" t="s">
        <v>21</v>
      </c>
    </row>
    <row r="19" spans="2:3" ht="12.75">
      <c r="B19" s="49">
        <f>'Steam Table'!F19</f>
        <v>960.1</v>
      </c>
      <c r="C19" t="s">
        <v>154</v>
      </c>
    </row>
    <row r="20" spans="2:3" ht="12.75">
      <c r="B20" s="49">
        <f>'Steam Table'!F20</f>
        <v>952.1</v>
      </c>
      <c r="C20" t="s">
        <v>155</v>
      </c>
    </row>
    <row r="21" spans="2:3" ht="12.75">
      <c r="B21" s="49">
        <f>'Steam Table'!F21</f>
        <v>945.3</v>
      </c>
      <c r="C21" t="s">
        <v>156</v>
      </c>
    </row>
    <row r="22" ht="12.75">
      <c r="C22" t="s">
        <v>24</v>
      </c>
    </row>
    <row r="23" spans="3:4" ht="12.75">
      <c r="C23" s="69">
        <f>D25*D27</f>
        <v>2309.7</v>
      </c>
      <c r="D23" t="s">
        <v>131</v>
      </c>
    </row>
    <row r="24" spans="3:4" ht="12.75">
      <c r="C24" s="70">
        <f>D25*D30</f>
        <v>4972</v>
      </c>
      <c r="D24" t="s">
        <v>132</v>
      </c>
    </row>
    <row r="25" spans="2:5" ht="12.75">
      <c r="B25" s="13"/>
      <c r="D25" s="51">
        <v>226</v>
      </c>
      <c r="E25" t="s">
        <v>129</v>
      </c>
    </row>
    <row r="26" spans="2:5" ht="12.75">
      <c r="B26" s="13"/>
      <c r="E26" t="s">
        <v>130</v>
      </c>
    </row>
    <row r="27" spans="2:13" ht="12.75">
      <c r="B27" s="13"/>
      <c r="D27" s="52">
        <f>7699*24/(65-(-15))/D25</f>
        <v>10.219911504424777</v>
      </c>
      <c r="E27" s="56" t="s">
        <v>133</v>
      </c>
      <c r="F27" s="56"/>
      <c r="G27" s="56"/>
      <c r="H27" s="56"/>
      <c r="I27" s="56"/>
      <c r="J27" s="56"/>
      <c r="K27" s="56"/>
      <c r="L27" s="56"/>
      <c r="M27" s="56"/>
    </row>
    <row r="28" spans="2:13" ht="12.75">
      <c r="B28" s="13"/>
      <c r="E28" s="56"/>
      <c r="F28" s="56"/>
      <c r="G28" s="56"/>
      <c r="H28" s="56"/>
      <c r="I28" s="56"/>
      <c r="J28" s="56"/>
      <c r="K28" s="56"/>
      <c r="L28" s="56"/>
      <c r="M28" s="56"/>
    </row>
    <row r="29" spans="2:13" ht="27" customHeight="1">
      <c r="B29" s="13"/>
      <c r="E29" s="56"/>
      <c r="F29" s="56"/>
      <c r="G29" s="56"/>
      <c r="H29" s="56"/>
      <c r="I29" s="56"/>
      <c r="J29" s="56"/>
      <c r="K29" s="56"/>
      <c r="L29" s="56"/>
      <c r="M29" s="56"/>
    </row>
    <row r="30" spans="2:13" ht="12.75">
      <c r="B30" s="13"/>
      <c r="D30" s="51">
        <v>22</v>
      </c>
      <c r="E30" s="56" t="s">
        <v>134</v>
      </c>
      <c r="F30" s="56"/>
      <c r="G30" s="56"/>
      <c r="H30" s="56"/>
      <c r="I30" s="56"/>
      <c r="J30" s="56"/>
      <c r="K30" s="56"/>
      <c r="L30" s="56"/>
      <c r="M30" s="56"/>
    </row>
    <row r="31" spans="2:13" ht="25.5" customHeight="1">
      <c r="B31" s="13"/>
      <c r="E31" s="56"/>
      <c r="F31" s="56"/>
      <c r="G31" s="56"/>
      <c r="H31" s="56"/>
      <c r="I31" s="56"/>
      <c r="J31" s="56"/>
      <c r="K31" s="56"/>
      <c r="L31" s="56"/>
      <c r="M31" s="56"/>
    </row>
    <row r="32" spans="2:13" s="46" customFormat="1" ht="12.75" customHeight="1">
      <c r="B32" s="48">
        <v>0</v>
      </c>
      <c r="C32" s="46" t="s">
        <v>137</v>
      </c>
      <c r="E32" s="47"/>
      <c r="F32" s="47"/>
      <c r="G32" s="47"/>
      <c r="H32" s="47"/>
      <c r="I32" s="47"/>
      <c r="J32" s="47"/>
      <c r="K32" s="47"/>
      <c r="L32" s="47"/>
      <c r="M32" s="47"/>
    </row>
    <row r="33" spans="2:13" s="46" customFormat="1" ht="12.75" customHeight="1">
      <c r="B33" s="45"/>
      <c r="D33" s="46" t="s">
        <v>138</v>
      </c>
      <c r="E33" s="47"/>
      <c r="F33" s="47"/>
      <c r="G33" s="47"/>
      <c r="H33" s="47"/>
      <c r="I33" s="47"/>
      <c r="J33" s="47"/>
      <c r="K33" s="47"/>
      <c r="L33" s="47"/>
      <c r="M33" s="47"/>
    </row>
    <row r="34" spans="2:13" s="46" customFormat="1" ht="12.75" customHeight="1">
      <c r="B34" s="45"/>
      <c r="D34" s="46" t="s">
        <v>139</v>
      </c>
      <c r="E34" s="47"/>
      <c r="F34" s="47"/>
      <c r="G34" s="47"/>
      <c r="H34" s="47"/>
      <c r="I34" s="47"/>
      <c r="J34" s="47"/>
      <c r="K34" s="47"/>
      <c r="L34" s="47"/>
      <c r="M34" s="47"/>
    </row>
    <row r="35" spans="2:13" s="46" customFormat="1" ht="12.75" customHeight="1">
      <c r="B35" s="45"/>
      <c r="D35" s="46" t="s">
        <v>140</v>
      </c>
      <c r="E35" s="47"/>
      <c r="F35" s="47"/>
      <c r="G35" s="47"/>
      <c r="H35" s="47"/>
      <c r="I35" s="47"/>
      <c r="J35" s="47"/>
      <c r="K35" s="47"/>
      <c r="L35" s="47"/>
      <c r="M35" s="47"/>
    </row>
    <row r="36" spans="2:3" ht="12.75">
      <c r="B36" s="49">
        <v>0.8</v>
      </c>
      <c r="C36" t="s">
        <v>135</v>
      </c>
    </row>
    <row r="37" spans="2:4" ht="12.75">
      <c r="B37" s="13"/>
      <c r="D37" t="s">
        <v>141</v>
      </c>
    </row>
    <row r="38" spans="2:4" ht="12.75">
      <c r="B38" s="13"/>
      <c r="D38" t="s">
        <v>142</v>
      </c>
    </row>
    <row r="39" spans="2:11" ht="12.75">
      <c r="B39" s="13"/>
      <c r="D39" s="8" t="s">
        <v>136</v>
      </c>
      <c r="K39" t="s">
        <v>112</v>
      </c>
    </row>
    <row r="40" spans="2:3" ht="12.75">
      <c r="B40" s="50">
        <v>0.5</v>
      </c>
      <c r="C40" t="s">
        <v>109</v>
      </c>
    </row>
    <row r="41" spans="2:4" ht="12.75">
      <c r="B41" s="13"/>
      <c r="D41" t="s">
        <v>110</v>
      </c>
    </row>
    <row r="42" spans="2:11" ht="12.75">
      <c r="B42" s="13"/>
      <c r="D42" s="8" t="s">
        <v>111</v>
      </c>
      <c r="K42" t="s">
        <v>112</v>
      </c>
    </row>
    <row r="43" ht="12.75">
      <c r="B43" s="13"/>
    </row>
    <row r="44" ht="12.75">
      <c r="C44" s="13"/>
    </row>
    <row r="45" spans="2:4" ht="12.75">
      <c r="B45" s="3" t="s">
        <v>22</v>
      </c>
      <c r="D45" s="15"/>
    </row>
    <row r="46" spans="3:4" ht="12.75">
      <c r="C46" s="3"/>
      <c r="D46" s="3"/>
    </row>
    <row r="47" spans="2:14" ht="25.5" customHeight="1">
      <c r="B47" s="63" t="s">
        <v>17</v>
      </c>
      <c r="C47" s="60" t="s">
        <v>12</v>
      </c>
      <c r="D47" s="61"/>
      <c r="E47" s="62"/>
      <c r="F47" t="s">
        <v>113</v>
      </c>
      <c r="N47" t="s">
        <v>29</v>
      </c>
    </row>
    <row r="48" spans="2:20" ht="12.75">
      <c r="B48" s="64"/>
      <c r="C48" s="57" t="s">
        <v>0</v>
      </c>
      <c r="D48" s="58"/>
      <c r="E48" s="59"/>
      <c r="F48" t="s">
        <v>114</v>
      </c>
      <c r="N48" s="18" t="s">
        <v>28</v>
      </c>
      <c r="T48" t="s">
        <v>36</v>
      </c>
    </row>
    <row r="49" spans="2:5" ht="12.75">
      <c r="B49" s="19"/>
      <c r="C49" s="1">
        <v>5</v>
      </c>
      <c r="D49" s="1">
        <v>10</v>
      </c>
      <c r="E49" s="1">
        <v>15</v>
      </c>
    </row>
    <row r="50" spans="2:7" ht="12.75">
      <c r="B50" s="11">
        <v>0.21875</v>
      </c>
      <c r="C50" s="43">
        <v>14.283662826242505</v>
      </c>
      <c r="D50" s="43">
        <v>17.73545368496506</v>
      </c>
      <c r="E50" s="43">
        <v>21.166454198687966</v>
      </c>
      <c r="G50" t="s">
        <v>43</v>
      </c>
    </row>
    <row r="51" spans="2:7" ht="12.75">
      <c r="B51" s="11">
        <v>0.25</v>
      </c>
      <c r="C51" s="43">
        <v>18.65621267101062</v>
      </c>
      <c r="D51" s="43">
        <v>23.164674200770694</v>
      </c>
      <c r="E51" s="43">
        <v>27.64598099420469</v>
      </c>
      <c r="G51" t="s">
        <v>145</v>
      </c>
    </row>
    <row r="52" spans="2:5" ht="12.75">
      <c r="B52" s="11">
        <v>0.3125</v>
      </c>
      <c r="C52" s="43">
        <v>29.150332298454096</v>
      </c>
      <c r="D52" s="43">
        <v>36.19480343870421</v>
      </c>
      <c r="E52" s="43">
        <v>43.19684530344483</v>
      </c>
    </row>
    <row r="53" spans="3:7" ht="12.75">
      <c r="C53" s="21">
        <f>SUMPRODUCT(C50:C52,$C$60:$C$62)</f>
        <v>27.882292843471344</v>
      </c>
      <c r="D53" s="21">
        <f>SUMPRODUCT(D50:D52,$C$60:$C$62)</f>
        <v>34.62032948912058</v>
      </c>
      <c r="E53" s="21">
        <f>SUMPRODUCT(E50:E52,$C$60:$C$62)</f>
        <v>41.317782532744985</v>
      </c>
      <c r="F53" s="68">
        <f>SUMPRODUCT(C53:E53,D59:F59)</f>
        <v>32.257958302940864</v>
      </c>
      <c r="G53" t="s">
        <v>107</v>
      </c>
    </row>
    <row r="54" spans="2:7" ht="12.75">
      <c r="B54" s="3"/>
      <c r="C54" s="21">
        <f>SUMPRODUCT(C50:C52,$C$72:$C$74)</f>
        <v>17.0820947268941</v>
      </c>
      <c r="D54" s="21">
        <f>SUMPRODUCT(D50:D52,$C$72:$C$74)</f>
        <v>21.210154815080664</v>
      </c>
      <c r="E54" s="21">
        <f>SUMPRODUCT(E50:E52,$C$72:$C$74)</f>
        <v>25.313351347818667</v>
      </c>
      <c r="F54" s="68">
        <f>SUMPRODUCT(C54:E54,D71:F71)</f>
        <v>19.762847428670508</v>
      </c>
      <c r="G54" t="s">
        <v>108</v>
      </c>
    </row>
    <row r="55" ht="12.75">
      <c r="B55" s="4" t="s">
        <v>31</v>
      </c>
    </row>
    <row r="56" spans="2:6" ht="25.5" customHeight="1">
      <c r="B56" s="63" t="s">
        <v>17</v>
      </c>
      <c r="C56" s="63" t="s">
        <v>16</v>
      </c>
      <c r="D56" s="60" t="s">
        <v>11</v>
      </c>
      <c r="E56" s="61"/>
      <c r="F56" s="62"/>
    </row>
    <row r="57" spans="2:8" ht="12.75">
      <c r="B57" s="64"/>
      <c r="C57" s="64"/>
      <c r="D57" s="57" t="s">
        <v>0</v>
      </c>
      <c r="E57" s="58"/>
      <c r="F57" s="59"/>
      <c r="G57" s="18"/>
      <c r="H57" t="s">
        <v>42</v>
      </c>
    </row>
    <row r="58" spans="2:8" ht="12.75">
      <c r="B58" s="19"/>
      <c r="C58" s="65"/>
      <c r="D58" s="1">
        <v>5</v>
      </c>
      <c r="E58" s="1">
        <v>10</v>
      </c>
      <c r="F58" s="1">
        <v>15</v>
      </c>
      <c r="H58" t="s">
        <v>146</v>
      </c>
    </row>
    <row r="59" spans="2:8" ht="12.75">
      <c r="B59" s="7" t="s">
        <v>30</v>
      </c>
      <c r="C59" s="7"/>
      <c r="D59" s="25">
        <v>0.45</v>
      </c>
      <c r="E59" s="25">
        <v>0.45</v>
      </c>
      <c r="F59" s="25">
        <v>0.1</v>
      </c>
      <c r="G59" s="20">
        <f>SUM(D59:F59)</f>
        <v>1</v>
      </c>
      <c r="H59" s="26"/>
    </row>
    <row r="60" spans="2:8" ht="12.75">
      <c r="B60" s="11">
        <v>0.21875</v>
      </c>
      <c r="C60" s="10">
        <v>0.05</v>
      </c>
      <c r="D60" s="66">
        <f>C50*$C$23*VLOOKUP((D$58&amp;".3")*1,'Steam Table'!$B$16:$F$42,5,FALSE)/100000/$B$36*(1-$B$32)</f>
        <v>395.93295107730495</v>
      </c>
      <c r="E60" s="66">
        <f>D50*$C$23*VLOOKUP((E$58&amp;".3")*1,'Steam Table'!$B$16:$F$42,5,FALSE)/100000/$B$36*(1-$B$32)</f>
        <v>487.5177752480693</v>
      </c>
      <c r="F60" s="66">
        <f>E50*$C$23*VLOOKUP((F$58&amp;".3")*1,'Steam Table'!$B$16:$F$42,5,FALSE)/100000/$B$36*(1-$B$32)</f>
        <v>577.6747118879922</v>
      </c>
      <c r="H60" s="26"/>
    </row>
    <row r="61" spans="2:11" ht="12.75">
      <c r="B61" s="11">
        <v>0.25</v>
      </c>
      <c r="C61" s="10">
        <v>0.05</v>
      </c>
      <c r="D61" s="66">
        <f>C51*$C$23*VLOOKUP((D$58&amp;".3")*1,'Steam Table'!$B$16:$F$42,5,FALSE)/100000/$B$36*(1-$B$32)</f>
        <v>517.1369156928066</v>
      </c>
      <c r="E61" s="66">
        <f>D51*$C$23*VLOOKUP((E$58&amp;".3")*1,'Steam Table'!$B$16:$F$42,5,FALSE)/100000/$B$36*(1-$B$32)</f>
        <v>636.7579105280906</v>
      </c>
      <c r="F61" s="66">
        <f>E51*$C$23*VLOOKUP((F$58&amp;".3")*1,'Steam Table'!$B$16:$F$42,5,FALSE)/100000/$B$36*(1-$B$32)</f>
        <v>754.5139094047245</v>
      </c>
      <c r="K61" s="66">
        <f>B50*$C$23*VLOOKUP((C$49&amp;".3")*1,'Steam Table'!$B$16:$F$42,5,FALSE)/100000/$B$36*(1-$B$32)</f>
        <v>6.06359405859375</v>
      </c>
    </row>
    <row r="62" spans="2:6" ht="12.75">
      <c r="B62" s="11">
        <v>0.3125</v>
      </c>
      <c r="C62" s="10">
        <v>0.9</v>
      </c>
      <c r="D62" s="66">
        <f>C52*$C$23*VLOOKUP((D$58&amp;".3")*1,'Steam Table'!$B$16:$F$42,5,FALSE)/100000/$B$36*(1-$B$32)</f>
        <v>808.02643077001</v>
      </c>
      <c r="E62" s="66">
        <f>D52*$C$23*VLOOKUP((E$58&amp;".3")*1,'Steam Table'!$B$16:$F$42,5,FALSE)/100000/$B$36*(1-$B$32)</f>
        <v>994.9342352001419</v>
      </c>
      <c r="F62" s="66">
        <f>E52*$C$23*VLOOKUP((F$58&amp;".3")*1,'Steam Table'!$B$16:$F$42,5,FALSE)/100000/$B$36*(1-$B$32)</f>
        <v>1178.927983444882</v>
      </c>
    </row>
    <row r="63" spans="2:7" ht="12.75">
      <c r="B63" s="11"/>
      <c r="C63" s="10">
        <f>SUM(C60:C62)</f>
        <v>1</v>
      </c>
      <c r="D63" s="66">
        <f>SUMPRODUCT(D60:D62,$C$60:$C$62)</f>
        <v>772.8772810315146</v>
      </c>
      <c r="E63" s="66">
        <f>SUMPRODUCT(E60:E62,$C$60:$C$62)</f>
        <v>951.6545959689357</v>
      </c>
      <c r="F63" s="66">
        <f>SUMPRODUCT(F60:F62,$C$60:$C$62)</f>
        <v>1127.6446161650297</v>
      </c>
      <c r="G63" t="s">
        <v>33</v>
      </c>
    </row>
    <row r="64" spans="2:4" ht="12.75">
      <c r="B64" s="22"/>
      <c r="C64" s="23"/>
      <c r="D64" s="23"/>
    </row>
    <row r="65" spans="4:7" ht="12.75">
      <c r="D65" s="23"/>
      <c r="E65" s="24" t="s">
        <v>34</v>
      </c>
      <c r="F65" s="23">
        <f>SUMPRODUCT(D63:F63,D59:F59)</f>
        <v>888.8038062667056</v>
      </c>
      <c r="G65" t="s">
        <v>26</v>
      </c>
    </row>
    <row r="67" ht="12.75">
      <c r="B67" s="4" t="s">
        <v>32</v>
      </c>
    </row>
    <row r="68" spans="2:6" ht="25.5" customHeight="1">
      <c r="B68" s="63" t="s">
        <v>17</v>
      </c>
      <c r="C68" s="63" t="s">
        <v>16</v>
      </c>
      <c r="D68" s="60" t="s">
        <v>11</v>
      </c>
      <c r="E68" s="61"/>
      <c r="F68" s="62"/>
    </row>
    <row r="69" spans="2:7" ht="12.75">
      <c r="B69" s="64"/>
      <c r="C69" s="64"/>
      <c r="D69" s="57" t="s">
        <v>0</v>
      </c>
      <c r="E69" s="58"/>
      <c r="F69" s="59"/>
      <c r="G69" s="18"/>
    </row>
    <row r="70" spans="2:8" ht="12.75">
      <c r="B70" s="19"/>
      <c r="C70" s="65"/>
      <c r="D70" s="1">
        <v>5</v>
      </c>
      <c r="E70" s="1">
        <v>10</v>
      </c>
      <c r="F70" s="1">
        <v>15</v>
      </c>
      <c r="H70" t="s">
        <v>42</v>
      </c>
    </row>
    <row r="71" spans="2:8" ht="12.75">
      <c r="B71" s="7" t="s">
        <v>30</v>
      </c>
      <c r="C71" s="7"/>
      <c r="D71" s="25">
        <v>0.45</v>
      </c>
      <c r="E71" s="25">
        <v>0.45</v>
      </c>
      <c r="F71" s="25">
        <v>0.1</v>
      </c>
      <c r="G71" s="20">
        <f>SUM(D71:F71)</f>
        <v>1</v>
      </c>
      <c r="H71" t="s">
        <v>147</v>
      </c>
    </row>
    <row r="72" spans="2:8" ht="12.75">
      <c r="B72" s="11">
        <v>0.21875</v>
      </c>
      <c r="C72" s="10">
        <v>0.48</v>
      </c>
      <c r="D72" s="66">
        <f>C50*$C$24*VLOOKUP((D$58&amp;".3")*1,'Steam Table'!$B$16:$F$42,5,FALSE)/100000/$B$36*(1-$B$32)</f>
        <v>852.3092318293978</v>
      </c>
      <c r="E72" s="66">
        <f>D50*$C$24*VLOOKUP((E$58&amp;".3")*1,'Steam Table'!$B$16:$F$42,5,FALSE)/100000/$B$36*(1-$B$32)</f>
        <v>1049.4602669322426</v>
      </c>
      <c r="F72" s="66">
        <f>E50*$C$24*VLOOKUP((F$58&amp;".3")*1,'Steam Table'!$B$16:$F$42,5,FALSE)/100000/$B$36*(1-$B$32)</f>
        <v>1243.5375449223263</v>
      </c>
      <c r="H72" s="26"/>
    </row>
    <row r="73" spans="2:8" ht="12.75">
      <c r="B73" s="11">
        <v>0.25</v>
      </c>
      <c r="C73" s="10">
        <v>0.47</v>
      </c>
      <c r="D73" s="66">
        <f>C51*$C$24*VLOOKUP((D$58&amp;".3")*1,'Steam Table'!$B$16:$F$42,5,FALSE)/100000/$B$36*(1-$B$32)</f>
        <v>1113.220221164928</v>
      </c>
      <c r="E73" s="66">
        <f>D51*$C$24*VLOOKUP((E$58&amp;".3")*1,'Steam Table'!$B$16:$F$42,5,FALSE)/100000/$B$36*(1-$B$32)</f>
        <v>1370.7236139523172</v>
      </c>
      <c r="F73" s="66">
        <f>E51*$C$24*VLOOKUP((F$58&amp;".3")*1,'Steam Table'!$B$16:$F$42,5,FALSE)/100000/$B$36*(1-$B$32)</f>
        <v>1624.2123035720183</v>
      </c>
      <c r="H73" s="26"/>
    </row>
    <row r="74" spans="2:6" ht="12.75">
      <c r="B74" s="11">
        <v>0.3125</v>
      </c>
      <c r="C74" s="10">
        <v>0.05</v>
      </c>
      <c r="D74" s="66">
        <f>C52*$C$24*VLOOKUP((D$58&amp;".3")*1,'Steam Table'!$B$16:$F$42,5,FALSE)/100000/$B$36*(1-$B$32)</f>
        <v>1739.4065955701997</v>
      </c>
      <c r="E74" s="66">
        <f>D52*$C$24*VLOOKUP((E$58&amp;".3")*1,'Steam Table'!$B$16:$F$42,5,FALSE)/100000/$B$36*(1-$B$32)</f>
        <v>2141.755646800496</v>
      </c>
      <c r="F74" s="66">
        <f>E52*$C$24*VLOOKUP((F$58&amp;".3")*1,'Steam Table'!$B$16:$F$42,5,FALSE)/100000/$B$36*(1-$B$32)</f>
        <v>2537.8317243312786</v>
      </c>
    </row>
    <row r="75" spans="2:7" ht="12.75">
      <c r="B75" s="11"/>
      <c r="C75" s="10">
        <f>SUM(C72:C74)</f>
        <v>1</v>
      </c>
      <c r="D75" s="66">
        <f>SUMPRODUCT(D72:D74,$C$72:$C$74)</f>
        <v>1019.2922650041371</v>
      </c>
      <c r="E75" s="66">
        <f>SUMPRODUCT(E72:E74,$C$72:$C$74)</f>
        <v>1255.0688090250903</v>
      </c>
      <c r="F75" s="66">
        <f>SUMPRODUCT(F72:F74,$C$72:$C$74)</f>
        <v>1487.169390458129</v>
      </c>
      <c r="G75" t="s">
        <v>33</v>
      </c>
    </row>
    <row r="77" spans="2:12" ht="12.75">
      <c r="B77" s="22"/>
      <c r="E77" s="24" t="s">
        <v>34</v>
      </c>
      <c r="F77" s="67">
        <f>SUMPRODUCT(D75:F75,D71:F71)</f>
        <v>1172.1794223589652</v>
      </c>
      <c r="G77" t="s">
        <v>26</v>
      </c>
      <c r="L77" s="44"/>
    </row>
    <row r="80" ht="12.75">
      <c r="B80" s="3"/>
    </row>
    <row r="81" spans="2:6" ht="12.75">
      <c r="B81" t="s">
        <v>27</v>
      </c>
      <c r="D81" s="16"/>
      <c r="F81" s="16"/>
    </row>
    <row r="82" spans="2:8" ht="12.75">
      <c r="B82" s="54" t="s">
        <v>148</v>
      </c>
      <c r="C82" s="54"/>
      <c r="D82" s="54"/>
      <c r="E82" s="54"/>
      <c r="F82" s="54"/>
      <c r="G82" s="54"/>
      <c r="H82" s="54"/>
    </row>
    <row r="83" spans="2:8" ht="12.75">
      <c r="B83" s="54" t="s">
        <v>149</v>
      </c>
      <c r="C83" s="38"/>
      <c r="D83" s="38"/>
      <c r="E83" s="38"/>
      <c r="F83" s="38"/>
      <c r="G83" s="38"/>
      <c r="H83" s="38"/>
    </row>
    <row r="84" spans="2:8" ht="12.75">
      <c r="B84" s="38"/>
      <c r="C84" s="38"/>
      <c r="D84" s="38"/>
      <c r="E84" s="38"/>
      <c r="F84" s="38"/>
      <c r="G84" s="38"/>
      <c r="H84" s="38"/>
    </row>
    <row r="85" spans="2:8" ht="38.25">
      <c r="B85" s="38"/>
      <c r="C85" s="38" t="s">
        <v>158</v>
      </c>
      <c r="D85" s="38" t="s">
        <v>152</v>
      </c>
      <c r="E85" s="38" t="s">
        <v>159</v>
      </c>
      <c r="F85" s="38" t="s">
        <v>153</v>
      </c>
      <c r="G85" s="38"/>
      <c r="H85" s="38"/>
    </row>
    <row r="86" spans="2:8" ht="12.75">
      <c r="B86" s="38" t="s">
        <v>150</v>
      </c>
      <c r="C86" s="55">
        <v>0.9</v>
      </c>
      <c r="D86" s="55">
        <v>0.9</v>
      </c>
      <c r="E86" s="55">
        <f>C86*D86</f>
        <v>0.81</v>
      </c>
      <c r="F86" s="71">
        <f>E86/SUM($E$86:$E$87)</f>
        <v>0.9246575342465753</v>
      </c>
      <c r="G86" s="38"/>
      <c r="H86" s="38"/>
    </row>
    <row r="87" spans="2:8" ht="12.75">
      <c r="B87" s="38" t="s">
        <v>151</v>
      </c>
      <c r="C87" s="55">
        <v>0.1</v>
      </c>
      <c r="D87" s="55">
        <v>0.66</v>
      </c>
      <c r="E87" s="55">
        <f>C87*D87</f>
        <v>0.066</v>
      </c>
      <c r="F87" s="71">
        <f>E87/SUM($E$86:$E$87)</f>
        <v>0.07534246575342465</v>
      </c>
      <c r="G87" s="38"/>
      <c r="H87" s="38"/>
    </row>
    <row r="88" spans="4:6" ht="12.75">
      <c r="D88" s="16"/>
      <c r="F88" s="16"/>
    </row>
    <row r="89" spans="2:9" ht="12.75">
      <c r="B89" t="s">
        <v>25</v>
      </c>
      <c r="D89" s="16"/>
      <c r="F89" s="16"/>
      <c r="H89" s="28">
        <f>F86*F65+F87*F77</f>
        <v>910.1540239174922</v>
      </c>
      <c r="I89" s="3" t="s">
        <v>26</v>
      </c>
    </row>
    <row r="90" spans="4:8" ht="12.75">
      <c r="D90" s="16"/>
      <c r="F90" s="16"/>
      <c r="H90" s="17"/>
    </row>
    <row r="91" spans="4:8" ht="12.75">
      <c r="D91" s="16"/>
      <c r="F91" s="16"/>
      <c r="H91" s="17"/>
    </row>
    <row r="92" spans="4:8" ht="12.75">
      <c r="D92" s="16"/>
      <c r="F92" s="16"/>
      <c r="H92" s="17"/>
    </row>
    <row r="94" spans="2:3" ht="13.5" thickBot="1">
      <c r="B94" s="12" t="s">
        <v>18</v>
      </c>
      <c r="C94" s="9"/>
    </row>
    <row r="95" spans="2:8" ht="39.75" thickBot="1" thickTop="1">
      <c r="B95" s="29" t="s">
        <v>13</v>
      </c>
      <c r="C95" s="30" t="s">
        <v>19</v>
      </c>
      <c r="D95" s="31" t="s">
        <v>14</v>
      </c>
      <c r="E95" s="32"/>
      <c r="F95" s="32"/>
      <c r="G95" s="32"/>
      <c r="H95" s="33"/>
    </row>
    <row r="96" spans="2:8" ht="13.5" thickBot="1">
      <c r="B96" s="34" t="s">
        <v>35</v>
      </c>
      <c r="C96" s="35">
        <f>H89</f>
        <v>910.1540239174922</v>
      </c>
      <c r="D96" s="36" t="s">
        <v>41</v>
      </c>
      <c r="E96" s="36"/>
      <c r="F96" s="36"/>
      <c r="G96" s="36"/>
      <c r="H96" s="37"/>
    </row>
    <row r="97" ht="13.5" thickTop="1"/>
  </sheetData>
  <mergeCells count="13">
    <mergeCell ref="B68:B69"/>
    <mergeCell ref="C68:C70"/>
    <mergeCell ref="D68:F68"/>
    <mergeCell ref="D69:F69"/>
    <mergeCell ref="B47:B48"/>
    <mergeCell ref="B56:B57"/>
    <mergeCell ref="C56:C58"/>
    <mergeCell ref="D56:F56"/>
    <mergeCell ref="D57:F57"/>
    <mergeCell ref="E27:M29"/>
    <mergeCell ref="E30:M31"/>
    <mergeCell ref="C48:E48"/>
    <mergeCell ref="C47:E47"/>
  </mergeCells>
  <hyperlinks>
    <hyperlink ref="N48" r:id="rId1" display="http://uesystems.com/tech_support_charts_steam_loss.asp"/>
    <hyperlink ref="D42" r:id="rId2" display="http://www.plantsupport.com/download/Steam%20Trap%20Performance%20Assessment.pdf "/>
    <hyperlink ref="D39" r:id="rId3" display="http://www.energysolutionscenter.org/boilerburner/Eff_Improve/Primer/Boiler_Introduction.asp"/>
  </hyperlinks>
  <printOptions/>
  <pageMargins left="0.45" right="0.43" top="0.66" bottom="1" header="0.5" footer="0.5"/>
  <pageSetup fitToHeight="2" fitToWidth="1" horizontalDpi="600" verticalDpi="600" orientation="landscape" scale="86" r:id="rId7"/>
  <drawing r:id="rId6"/>
  <legacyDrawing r:id="rId5"/>
</worksheet>
</file>

<file path=xl/worksheets/sheet2.xml><?xml version="1.0" encoding="utf-8"?>
<worksheet xmlns="http://schemas.openxmlformats.org/spreadsheetml/2006/main" xmlns:r="http://schemas.openxmlformats.org/officeDocument/2006/relationships">
  <dimension ref="A2:L68"/>
  <sheetViews>
    <sheetView workbookViewId="0" topLeftCell="A1">
      <selection activeCell="E11" sqref="E11"/>
    </sheetView>
  </sheetViews>
  <sheetFormatPr defaultColWidth="9.140625" defaultRowHeight="12.75"/>
  <cols>
    <col min="1" max="1" width="22.140625" style="0" customWidth="1"/>
    <col min="3" max="3" width="7.7109375" style="0" customWidth="1"/>
    <col min="7" max="7" width="10.28125" style="0" customWidth="1"/>
  </cols>
  <sheetData>
    <row r="2" spans="1:3" ht="27" customHeight="1">
      <c r="A2" s="38" t="s">
        <v>45</v>
      </c>
      <c r="B2" s="39">
        <v>30</v>
      </c>
      <c r="C2" t="s">
        <v>46</v>
      </c>
    </row>
    <row r="3" spans="1:3" ht="26.25" customHeight="1">
      <c r="A3" s="38" t="s">
        <v>47</v>
      </c>
      <c r="B3">
        <f>B2-'Steam Table'!C16</f>
        <v>15.304</v>
      </c>
      <c r="C3" t="s">
        <v>48</v>
      </c>
    </row>
    <row r="4" spans="1:3" ht="25.5">
      <c r="A4" s="38" t="s">
        <v>49</v>
      </c>
      <c r="B4" s="39">
        <v>30</v>
      </c>
      <c r="C4" t="s">
        <v>46</v>
      </c>
    </row>
    <row r="5" spans="1:3" ht="25.5">
      <c r="A5" s="38" t="s">
        <v>50</v>
      </c>
      <c r="B5">
        <f>B4-'Steam Table'!C16</f>
        <v>15.304</v>
      </c>
      <c r="C5" t="s">
        <v>48</v>
      </c>
    </row>
    <row r="6" spans="1:3" ht="12.75">
      <c r="A6" s="38" t="s">
        <v>51</v>
      </c>
      <c r="B6" s="39">
        <v>8760</v>
      </c>
      <c r="C6" t="s">
        <v>52</v>
      </c>
    </row>
    <row r="7" spans="1:3" ht="12.75">
      <c r="A7" s="38" t="s">
        <v>53</v>
      </c>
      <c r="B7">
        <f>VLOOKUP(B2,'Steam Table'!C16:F55,4,FALSE)</f>
        <v>945.3</v>
      </c>
      <c r="C7" t="s">
        <v>54</v>
      </c>
    </row>
    <row r="8" spans="1:3" ht="25.5">
      <c r="A8" s="38" t="s">
        <v>55</v>
      </c>
      <c r="B8">
        <f>VLOOKUP($B$2,'Steam Table'!$C$16:$F$55,3,FALSE)</f>
        <v>218.82</v>
      </c>
      <c r="C8" t="s">
        <v>54</v>
      </c>
    </row>
    <row r="9" spans="1:3" ht="25.5">
      <c r="A9" s="38" t="s">
        <v>56</v>
      </c>
      <c r="B9">
        <f>VLOOKUP($B$4,'Steam Table'!$C$16:$F$55,3,FALSE)</f>
        <v>218.82</v>
      </c>
      <c r="C9" t="s">
        <v>54</v>
      </c>
    </row>
    <row r="10" spans="1:3" ht="12.75">
      <c r="A10" s="38" t="s">
        <v>57</v>
      </c>
      <c r="B10">
        <v>60</v>
      </c>
      <c r="C10" t="s">
        <v>58</v>
      </c>
    </row>
    <row r="11" spans="1:3" ht="25.5">
      <c r="A11" s="38" t="s">
        <v>59</v>
      </c>
      <c r="B11">
        <v>28.08</v>
      </c>
      <c r="C11" t="s">
        <v>54</v>
      </c>
    </row>
    <row r="12" spans="1:2" ht="25.5">
      <c r="A12" s="38" t="s">
        <v>60</v>
      </c>
      <c r="B12" s="40">
        <v>0</v>
      </c>
    </row>
    <row r="13" spans="1:2" ht="12.75">
      <c r="A13" s="38" t="s">
        <v>157</v>
      </c>
      <c r="B13" s="40">
        <v>0.5</v>
      </c>
    </row>
    <row r="15" spans="1:5" ht="12.75">
      <c r="A15" t="s">
        <v>61</v>
      </c>
      <c r="B15" t="s">
        <v>62</v>
      </c>
      <c r="C15" t="s">
        <v>63</v>
      </c>
      <c r="D15" t="s">
        <v>64</v>
      </c>
      <c r="E15" t="s">
        <v>160</v>
      </c>
    </row>
    <row r="16" spans="1:6" ht="12.75">
      <c r="A16" s="41" t="s">
        <v>65</v>
      </c>
      <c r="B16" s="42">
        <f>1/32</f>
        <v>0.03125</v>
      </c>
      <c r="C16" s="15">
        <f aca="true" t="shared" si="0" ref="C16:C31">(B16/2)^2*PI()</f>
        <v>0.0007669903939428206</v>
      </c>
      <c r="D16">
        <f>41.58*C16*$B$13*$B$2^0.97</f>
        <v>0.4319684530344483</v>
      </c>
      <c r="E16">
        <f aca="true" t="shared" si="1" ref="E16:E31">D16*$B$6*($B$7+$B$8-(1-$B$12)*$B$9-$B$12*($B$11))/1000000</f>
        <v>3.5770564610043443</v>
      </c>
      <c r="F16" s="42"/>
    </row>
    <row r="17" spans="1:6" ht="12.75">
      <c r="A17" s="41" t="s">
        <v>66</v>
      </c>
      <c r="B17" s="42">
        <f>1/16</f>
        <v>0.0625</v>
      </c>
      <c r="C17" s="15">
        <f t="shared" si="0"/>
        <v>0.0030679615757712823</v>
      </c>
      <c r="D17">
        <f aca="true" t="shared" si="2" ref="D17:D31">41.58*C17*$B$13*$B$2^0.97</f>
        <v>1.7278738121377932</v>
      </c>
      <c r="E17">
        <f t="shared" si="1"/>
        <v>14.308225844017377</v>
      </c>
      <c r="F17" s="42"/>
    </row>
    <row r="18" spans="1:6" ht="12.75">
      <c r="A18" s="41" t="s">
        <v>67</v>
      </c>
      <c r="B18" s="42">
        <f>3/32</f>
        <v>0.09375</v>
      </c>
      <c r="C18" s="15">
        <f t="shared" si="0"/>
        <v>0.006902913545485385</v>
      </c>
      <c r="D18">
        <f t="shared" si="2"/>
        <v>3.8877160773100345</v>
      </c>
      <c r="E18">
        <f t="shared" si="1"/>
        <v>32.19350814903909</v>
      </c>
      <c r="F18" s="42"/>
    </row>
    <row r="19" spans="1:6" ht="12.75">
      <c r="A19" s="41" t="s">
        <v>68</v>
      </c>
      <c r="B19" s="42">
        <f>1/8</f>
        <v>0.125</v>
      </c>
      <c r="C19" s="15">
        <f t="shared" si="0"/>
        <v>0.01227184630308513</v>
      </c>
      <c r="D19">
        <f t="shared" si="2"/>
        <v>6.911495248551173</v>
      </c>
      <c r="E19">
        <f t="shared" si="1"/>
        <v>57.23290337606951</v>
      </c>
      <c r="F19" s="42"/>
    </row>
    <row r="20" spans="1:6" ht="12.75">
      <c r="A20" s="41" t="s">
        <v>69</v>
      </c>
      <c r="B20" s="42">
        <f>5/32</f>
        <v>0.15625</v>
      </c>
      <c r="C20" s="15">
        <f t="shared" si="0"/>
        <v>0.019174759848570515</v>
      </c>
      <c r="D20">
        <f t="shared" si="2"/>
        <v>10.799211325861208</v>
      </c>
      <c r="E20">
        <f t="shared" si="1"/>
        <v>89.4264115251086</v>
      </c>
      <c r="F20" s="42"/>
    </row>
    <row r="21" spans="1:6" ht="12.75">
      <c r="A21" s="41" t="s">
        <v>70</v>
      </c>
      <c r="B21" s="42">
        <f>3/16</f>
        <v>0.1875</v>
      </c>
      <c r="C21" s="15">
        <f t="shared" si="0"/>
        <v>0.02761165418194154</v>
      </c>
      <c r="D21">
        <f t="shared" si="2"/>
        <v>15.550864309240138</v>
      </c>
      <c r="E21">
        <f t="shared" si="1"/>
        <v>128.77403259615636</v>
      </c>
      <c r="F21" s="42"/>
    </row>
    <row r="22" spans="1:6" ht="12.75">
      <c r="A22" s="41" t="s">
        <v>71</v>
      </c>
      <c r="B22" s="42">
        <f>7/32</f>
        <v>0.21875</v>
      </c>
      <c r="C22" s="15">
        <f t="shared" si="0"/>
        <v>0.037582529303198206</v>
      </c>
      <c r="D22">
        <f t="shared" si="2"/>
        <v>21.166454198687966</v>
      </c>
      <c r="E22">
        <f t="shared" si="1"/>
        <v>175.27576658921288</v>
      </c>
      <c r="F22" s="42"/>
    </row>
    <row r="23" spans="1:6" ht="12.75">
      <c r="A23" s="41" t="s">
        <v>72</v>
      </c>
      <c r="B23" s="42">
        <f>1/4</f>
        <v>0.25</v>
      </c>
      <c r="C23" s="15">
        <f t="shared" si="0"/>
        <v>0.04908738521234052</v>
      </c>
      <c r="D23">
        <f t="shared" si="2"/>
        <v>27.64598099420469</v>
      </c>
      <c r="E23">
        <f t="shared" si="1"/>
        <v>228.93161350427803</v>
      </c>
      <c r="F23" s="42"/>
    </row>
    <row r="24" spans="1:6" ht="12.75">
      <c r="A24" s="41" t="s">
        <v>73</v>
      </c>
      <c r="B24" s="42">
        <f>9/32</f>
        <v>0.28125</v>
      </c>
      <c r="C24" s="15">
        <f t="shared" si="0"/>
        <v>0.062126221909368465</v>
      </c>
      <c r="D24">
        <f t="shared" si="2"/>
        <v>34.98944469579031</v>
      </c>
      <c r="E24">
        <f t="shared" si="1"/>
        <v>289.74157334135185</v>
      </c>
      <c r="F24" s="42"/>
    </row>
    <row r="25" spans="1:6" ht="12.75">
      <c r="A25" s="41" t="s">
        <v>74</v>
      </c>
      <c r="B25" s="42">
        <f>5/16</f>
        <v>0.3125</v>
      </c>
      <c r="C25" s="15">
        <f t="shared" si="0"/>
        <v>0.07669903939428206</v>
      </c>
      <c r="D25">
        <f t="shared" si="2"/>
        <v>43.19684530344483</v>
      </c>
      <c r="E25">
        <f t="shared" si="1"/>
        <v>357.7056461004344</v>
      </c>
      <c r="F25" s="42"/>
    </row>
    <row r="26" spans="1:12" ht="12.75" customHeight="1">
      <c r="A26" s="41" t="s">
        <v>75</v>
      </c>
      <c r="B26" s="42">
        <f>11/32</f>
        <v>0.34375</v>
      </c>
      <c r="C26" s="15">
        <f t="shared" si="0"/>
        <v>0.0928058376670813</v>
      </c>
      <c r="D26">
        <f t="shared" si="2"/>
        <v>52.268182817168245</v>
      </c>
      <c r="E26">
        <f t="shared" si="1"/>
        <v>432.82383178152566</v>
      </c>
      <c r="F26" s="42"/>
      <c r="I26" s="63" t="s">
        <v>17</v>
      </c>
      <c r="J26" s="60" t="s">
        <v>12</v>
      </c>
      <c r="K26" s="61"/>
      <c r="L26" s="62"/>
    </row>
    <row r="27" spans="1:12" ht="12.75">
      <c r="A27" s="41" t="s">
        <v>76</v>
      </c>
      <c r="B27" s="42">
        <f>3/8</f>
        <v>0.375</v>
      </c>
      <c r="C27" s="15">
        <f t="shared" si="0"/>
        <v>0.11044661672776616</v>
      </c>
      <c r="D27">
        <f t="shared" si="2"/>
        <v>62.20345723696055</v>
      </c>
      <c r="E27">
        <f t="shared" si="1"/>
        <v>515.0961303846254</v>
      </c>
      <c r="F27" s="42"/>
      <c r="I27" s="64"/>
      <c r="J27" s="57" t="s">
        <v>0</v>
      </c>
      <c r="K27" s="58"/>
      <c r="L27" s="59"/>
    </row>
    <row r="28" spans="1:12" ht="12.75">
      <c r="A28" s="41" t="s">
        <v>77</v>
      </c>
      <c r="B28" s="42">
        <f>13/32</f>
        <v>0.40625</v>
      </c>
      <c r="C28" s="15">
        <f t="shared" si="0"/>
        <v>0.12962137657633668</v>
      </c>
      <c r="D28">
        <f t="shared" si="2"/>
        <v>73.00266856282177</v>
      </c>
      <c r="E28">
        <f t="shared" si="1"/>
        <v>604.5225419097343</v>
      </c>
      <c r="F28" s="42"/>
      <c r="I28" s="19"/>
      <c r="J28" s="1">
        <v>5</v>
      </c>
      <c r="K28" s="1">
        <v>10</v>
      </c>
      <c r="L28" s="1">
        <v>15</v>
      </c>
    </row>
    <row r="29" spans="1:12" ht="12.75">
      <c r="A29" s="41" t="s">
        <v>78</v>
      </c>
      <c r="B29" s="42">
        <f>7/16</f>
        <v>0.4375</v>
      </c>
      <c r="C29" s="15">
        <f t="shared" si="0"/>
        <v>0.15033011721279282</v>
      </c>
      <c r="D29">
        <f t="shared" si="2"/>
        <v>84.66581679475186</v>
      </c>
      <c r="E29">
        <f t="shared" si="1"/>
        <v>701.1030663568515</v>
      </c>
      <c r="F29" s="42"/>
      <c r="I29" s="11">
        <v>0.21875</v>
      </c>
      <c r="J29" s="43">
        <v>14.283662826242505</v>
      </c>
      <c r="K29" s="43">
        <v>17.73545368496506</v>
      </c>
      <c r="L29" s="43">
        <v>21.166454198687966</v>
      </c>
    </row>
    <row r="30" spans="1:12" ht="12.75">
      <c r="A30" s="41" t="s">
        <v>79</v>
      </c>
      <c r="B30" s="42">
        <f>15/32</f>
        <v>0.46875</v>
      </c>
      <c r="C30" s="15">
        <f t="shared" si="0"/>
        <v>0.17257283863713463</v>
      </c>
      <c r="D30">
        <f t="shared" si="2"/>
        <v>97.19290193275087</v>
      </c>
      <c r="E30">
        <f t="shared" si="1"/>
        <v>804.8377037259775</v>
      </c>
      <c r="F30" s="42"/>
      <c r="I30" s="11">
        <v>0.25</v>
      </c>
      <c r="J30" s="43">
        <v>18.65621267101062</v>
      </c>
      <c r="K30" s="43">
        <v>23.164674200770694</v>
      </c>
      <c r="L30" s="43">
        <v>27.64598099420469</v>
      </c>
    </row>
    <row r="31" spans="1:12" ht="12.75">
      <c r="A31" s="41" t="s">
        <v>80</v>
      </c>
      <c r="B31" s="42">
        <f>0.5</f>
        <v>0.5</v>
      </c>
      <c r="C31" s="15">
        <f t="shared" si="0"/>
        <v>0.19634954084936207</v>
      </c>
      <c r="D31">
        <f t="shared" si="2"/>
        <v>110.58392397681877</v>
      </c>
      <c r="E31">
        <f t="shared" si="1"/>
        <v>915.7264540171121</v>
      </c>
      <c r="F31" s="42"/>
      <c r="I31" s="11">
        <v>0.3125</v>
      </c>
      <c r="J31" s="43">
        <v>29.150332298454096</v>
      </c>
      <c r="K31" s="43">
        <v>36.19480343870421</v>
      </c>
      <c r="L31" s="43">
        <v>43.19684530344483</v>
      </c>
    </row>
    <row r="33" ht="12.75">
      <c r="A33" t="s">
        <v>115</v>
      </c>
    </row>
    <row r="34" spans="1:2" ht="12.75">
      <c r="A34" t="s">
        <v>116</v>
      </c>
      <c r="B34" t="s">
        <v>117</v>
      </c>
    </row>
    <row r="35" spans="1:2" ht="12.75">
      <c r="A35" t="s">
        <v>118</v>
      </c>
      <c r="B35" t="s">
        <v>119</v>
      </c>
    </row>
    <row r="36" ht="12.75">
      <c r="B36" t="s">
        <v>120</v>
      </c>
    </row>
    <row r="37" ht="12.75">
      <c r="B37" t="s">
        <v>121</v>
      </c>
    </row>
    <row r="38" ht="12.75">
      <c r="B38" t="s">
        <v>122</v>
      </c>
    </row>
    <row r="40" spans="1:7" ht="12.75">
      <c r="A40" s="8" t="s">
        <v>123</v>
      </c>
      <c r="G40" t="s">
        <v>112</v>
      </c>
    </row>
    <row r="42" ht="12.75">
      <c r="A42" t="s">
        <v>124</v>
      </c>
    </row>
    <row r="65" ht="12.75">
      <c r="A65" t="s">
        <v>125</v>
      </c>
    </row>
    <row r="66" ht="12.75">
      <c r="A66" t="s">
        <v>128</v>
      </c>
    </row>
    <row r="67" ht="12.75">
      <c r="A67" s="8" t="s">
        <v>126</v>
      </c>
    </row>
    <row r="68" spans="1:8" ht="51" customHeight="1">
      <c r="A68" s="56" t="s">
        <v>127</v>
      </c>
      <c r="B68" s="56"/>
      <c r="C68" s="56"/>
      <c r="D68" s="56"/>
      <c r="E68" s="56"/>
      <c r="F68" s="56"/>
      <c r="G68" s="56"/>
      <c r="H68" s="56"/>
    </row>
  </sheetData>
  <mergeCells count="4">
    <mergeCell ref="A68:H68"/>
    <mergeCell ref="I26:I27"/>
    <mergeCell ref="J26:L26"/>
    <mergeCell ref="J27:L27"/>
  </mergeCells>
  <dataValidations count="1">
    <dataValidation type="list" allowBlank="1" showErrorMessage="1" errorTitle="Invalid Entry" sqref="B2 B4">
      <formula1>psia</formula1>
    </dataValidation>
  </dataValidations>
  <hyperlinks>
    <hyperlink ref="A40" r:id="rId1" display="http://memagazine.asme.org/articles/2009/February/Technology_Focus.cfm"/>
    <hyperlink ref="A67" r:id="rId2" display="http://www1.eere.energy.gov/femp/pdfs/FTA_SteamTrap.pdf"/>
  </hyperlinks>
  <printOptions/>
  <pageMargins left="0.75" right="0.75" top="1" bottom="1" header="0.5" footer="0.5"/>
  <pageSetup orientation="portrait" paperSize="9"/>
  <drawing r:id="rId3"/>
</worksheet>
</file>

<file path=xl/worksheets/sheet3.xml><?xml version="1.0" encoding="utf-8"?>
<worksheet xmlns="http://schemas.openxmlformats.org/spreadsheetml/2006/main" xmlns:r="http://schemas.openxmlformats.org/officeDocument/2006/relationships">
  <dimension ref="B2:I55"/>
  <sheetViews>
    <sheetView workbookViewId="0" topLeftCell="A1">
      <selection activeCell="A20" sqref="A20:IV20"/>
    </sheetView>
  </sheetViews>
  <sheetFormatPr defaultColWidth="9.140625" defaultRowHeight="12.75"/>
  <sheetData>
    <row r="2" spans="2:9" ht="12.75">
      <c r="B2" t="s">
        <v>81</v>
      </c>
      <c r="C2" t="s">
        <v>82</v>
      </c>
      <c r="D2" t="s">
        <v>83</v>
      </c>
      <c r="E2" t="s">
        <v>84</v>
      </c>
      <c r="F2" t="s">
        <v>85</v>
      </c>
      <c r="G2" t="s">
        <v>86</v>
      </c>
      <c r="H2" t="s">
        <v>87</v>
      </c>
      <c r="I2" t="s">
        <v>88</v>
      </c>
    </row>
    <row r="3" spans="2:9" ht="12.75">
      <c r="B3" t="s">
        <v>89</v>
      </c>
      <c r="C3" t="s">
        <v>90</v>
      </c>
      <c r="D3" t="s">
        <v>91</v>
      </c>
      <c r="E3" t="s">
        <v>92</v>
      </c>
      <c r="F3" t="s">
        <v>93</v>
      </c>
      <c r="G3" t="s">
        <v>94</v>
      </c>
      <c r="H3" t="s">
        <v>95</v>
      </c>
      <c r="I3" t="s">
        <v>95</v>
      </c>
    </row>
    <row r="4" spans="2:9" ht="12.75">
      <c r="B4" t="s">
        <v>96</v>
      </c>
      <c r="C4" t="s">
        <v>96</v>
      </c>
      <c r="D4" t="s">
        <v>97</v>
      </c>
      <c r="E4" t="s">
        <v>98</v>
      </c>
      <c r="F4" t="s">
        <v>99</v>
      </c>
      <c r="G4" t="s">
        <v>100</v>
      </c>
      <c r="H4" t="s">
        <v>101</v>
      </c>
      <c r="I4" t="s">
        <v>101</v>
      </c>
    </row>
    <row r="5" spans="3:9" ht="12.75">
      <c r="C5" t="s">
        <v>102</v>
      </c>
      <c r="D5" t="s">
        <v>103</v>
      </c>
      <c r="E5" t="s">
        <v>104</v>
      </c>
      <c r="F5" t="s">
        <v>104</v>
      </c>
      <c r="G5" t="s">
        <v>104</v>
      </c>
      <c r="H5" t="s">
        <v>98</v>
      </c>
      <c r="I5" t="s">
        <v>105</v>
      </c>
    </row>
    <row r="6" spans="8:9" ht="12.75">
      <c r="H6" t="s">
        <v>106</v>
      </c>
      <c r="I6" t="s">
        <v>106</v>
      </c>
    </row>
    <row r="7" spans="2:9" ht="12.75">
      <c r="B7">
        <v>29.743</v>
      </c>
      <c r="C7">
        <v>0.08854</v>
      </c>
      <c r="D7">
        <v>32</v>
      </c>
      <c r="E7">
        <v>0</v>
      </c>
      <c r="F7">
        <v>1075.8</v>
      </c>
      <c r="G7">
        <v>1075.8</v>
      </c>
      <c r="H7">
        <v>0.096022</v>
      </c>
      <c r="I7">
        <v>3306</v>
      </c>
    </row>
    <row r="8" spans="2:9" ht="12.75">
      <c r="B8">
        <v>29.515</v>
      </c>
      <c r="C8">
        <v>0.2</v>
      </c>
      <c r="D8">
        <v>53.14</v>
      </c>
      <c r="E8">
        <v>21.21</v>
      </c>
      <c r="F8">
        <v>1063.8</v>
      </c>
      <c r="G8">
        <v>1085</v>
      </c>
      <c r="H8">
        <v>0.016027</v>
      </c>
      <c r="I8">
        <v>1526</v>
      </c>
    </row>
    <row r="9" spans="2:9" ht="12.75">
      <c r="B9">
        <v>27.886</v>
      </c>
      <c r="C9">
        <v>1</v>
      </c>
      <c r="D9">
        <v>101.74</v>
      </c>
      <c r="E9">
        <v>69.7</v>
      </c>
      <c r="F9">
        <v>1036.3</v>
      </c>
      <c r="G9">
        <v>1106</v>
      </c>
      <c r="H9">
        <v>0.016136</v>
      </c>
      <c r="I9">
        <v>333.6</v>
      </c>
    </row>
    <row r="10" spans="2:9" ht="12.75">
      <c r="B10">
        <v>19.742</v>
      </c>
      <c r="C10">
        <v>5</v>
      </c>
      <c r="D10">
        <v>162.24</v>
      </c>
      <c r="E10">
        <v>130.13</v>
      </c>
      <c r="F10">
        <v>1001</v>
      </c>
      <c r="G10">
        <v>1131</v>
      </c>
      <c r="H10">
        <v>0.016407</v>
      </c>
      <c r="I10">
        <v>73.52</v>
      </c>
    </row>
    <row r="11" spans="2:9" ht="12.75">
      <c r="B11">
        <v>9.562</v>
      </c>
      <c r="C11">
        <v>10</v>
      </c>
      <c r="D11">
        <v>193.21</v>
      </c>
      <c r="E11">
        <v>161.17</v>
      </c>
      <c r="F11">
        <v>982.1</v>
      </c>
      <c r="G11">
        <v>1143.3</v>
      </c>
      <c r="H11">
        <v>0.01659</v>
      </c>
      <c r="I11">
        <v>38.42</v>
      </c>
    </row>
    <row r="12" spans="2:9" ht="12.75">
      <c r="B12">
        <v>7.536</v>
      </c>
      <c r="C12">
        <v>11</v>
      </c>
      <c r="D12">
        <v>197.75</v>
      </c>
      <c r="E12">
        <v>165.73</v>
      </c>
      <c r="F12">
        <v>979.3</v>
      </c>
      <c r="G12">
        <v>1145</v>
      </c>
      <c r="H12">
        <v>0.01662</v>
      </c>
      <c r="I12">
        <v>35.14</v>
      </c>
    </row>
    <row r="13" spans="2:9" ht="12.75">
      <c r="B13">
        <v>5.49</v>
      </c>
      <c r="C13">
        <v>12</v>
      </c>
      <c r="D13">
        <v>201.96</v>
      </c>
      <c r="E13">
        <v>169.96</v>
      </c>
      <c r="F13">
        <v>976.6</v>
      </c>
      <c r="G13">
        <v>1146.6</v>
      </c>
      <c r="H13">
        <v>0.016647</v>
      </c>
      <c r="I13">
        <v>32.4</v>
      </c>
    </row>
    <row r="14" spans="2:9" ht="12.75">
      <c r="B14">
        <v>3.454</v>
      </c>
      <c r="C14">
        <v>13</v>
      </c>
      <c r="D14">
        <v>205.88</v>
      </c>
      <c r="E14">
        <v>173.91</v>
      </c>
      <c r="F14">
        <v>974.2</v>
      </c>
      <c r="G14">
        <v>1148.1</v>
      </c>
      <c r="H14">
        <v>0.016674</v>
      </c>
      <c r="I14">
        <v>30.06</v>
      </c>
    </row>
    <row r="15" spans="2:9" ht="12.75">
      <c r="B15">
        <v>1.418</v>
      </c>
      <c r="C15">
        <v>14</v>
      </c>
      <c r="D15">
        <v>209.56</v>
      </c>
      <c r="E15">
        <v>177.61</v>
      </c>
      <c r="F15">
        <v>971.9</v>
      </c>
      <c r="G15">
        <v>1149.5</v>
      </c>
      <c r="H15">
        <v>0.016699</v>
      </c>
      <c r="I15">
        <v>28.04</v>
      </c>
    </row>
    <row r="16" spans="2:9" ht="12.75">
      <c r="B16">
        <v>0</v>
      </c>
      <c r="C16">
        <v>14.696</v>
      </c>
      <c r="D16">
        <v>212</v>
      </c>
      <c r="E16">
        <v>180.07</v>
      </c>
      <c r="F16">
        <v>970.3</v>
      </c>
      <c r="G16">
        <v>1150.4</v>
      </c>
      <c r="H16">
        <v>0.016715</v>
      </c>
      <c r="I16">
        <v>26.8</v>
      </c>
    </row>
    <row r="17" spans="2:9" ht="12.75">
      <c r="B17">
        <v>1.3</v>
      </c>
      <c r="C17">
        <v>16</v>
      </c>
      <c r="D17">
        <v>216.32</v>
      </c>
      <c r="E17">
        <v>184.42</v>
      </c>
      <c r="F17">
        <v>967.6</v>
      </c>
      <c r="G17">
        <v>1152</v>
      </c>
      <c r="H17">
        <v>0.016746</v>
      </c>
      <c r="I17">
        <v>24.75</v>
      </c>
    </row>
    <row r="18" spans="2:9" ht="12.75">
      <c r="B18">
        <v>2.3</v>
      </c>
      <c r="C18">
        <v>17</v>
      </c>
      <c r="D18">
        <v>219.44</v>
      </c>
      <c r="E18">
        <v>187.56</v>
      </c>
      <c r="F18">
        <v>965.5</v>
      </c>
      <c r="G18">
        <v>1153.1</v>
      </c>
      <c r="H18">
        <v>0.016768</v>
      </c>
      <c r="I18">
        <v>23.39</v>
      </c>
    </row>
    <row r="19" spans="2:9" ht="12.75">
      <c r="B19">
        <v>5.3</v>
      </c>
      <c r="C19">
        <v>20</v>
      </c>
      <c r="D19">
        <v>227.96</v>
      </c>
      <c r="E19">
        <v>196.16</v>
      </c>
      <c r="F19">
        <v>960.1</v>
      </c>
      <c r="G19">
        <v>1156.3</v>
      </c>
      <c r="H19">
        <v>0.01683</v>
      </c>
      <c r="I19">
        <v>20.09</v>
      </c>
    </row>
    <row r="20" spans="2:9" ht="12.75">
      <c r="B20">
        <v>10.3</v>
      </c>
      <c r="C20">
        <v>25</v>
      </c>
      <c r="D20">
        <v>240.07</v>
      </c>
      <c r="E20">
        <v>208.42</v>
      </c>
      <c r="F20">
        <v>952.1</v>
      </c>
      <c r="G20">
        <v>1160.6</v>
      </c>
      <c r="H20">
        <v>0.016922</v>
      </c>
      <c r="I20">
        <v>16.3</v>
      </c>
    </row>
    <row r="21" spans="2:9" ht="12.75">
      <c r="B21">
        <v>15.3</v>
      </c>
      <c r="C21">
        <v>30</v>
      </c>
      <c r="D21">
        <v>250.33</v>
      </c>
      <c r="E21">
        <v>218.82</v>
      </c>
      <c r="F21">
        <v>945.3</v>
      </c>
      <c r="G21">
        <v>1164.1</v>
      </c>
      <c r="H21">
        <v>0.017004</v>
      </c>
      <c r="I21">
        <v>13.75</v>
      </c>
    </row>
    <row r="22" spans="2:9" ht="12.75">
      <c r="B22">
        <v>20.3</v>
      </c>
      <c r="C22">
        <v>35</v>
      </c>
      <c r="D22">
        <v>259.28</v>
      </c>
      <c r="E22">
        <v>227.91</v>
      </c>
      <c r="F22">
        <v>939.2</v>
      </c>
      <c r="G22">
        <v>1167.1</v>
      </c>
      <c r="H22">
        <v>0.017078</v>
      </c>
      <c r="I22">
        <v>11.9</v>
      </c>
    </row>
    <row r="23" spans="2:9" ht="12.75">
      <c r="B23">
        <v>25.3</v>
      </c>
      <c r="C23">
        <v>40</v>
      </c>
      <c r="D23">
        <v>267.25</v>
      </c>
      <c r="E23">
        <v>236.03</v>
      </c>
      <c r="F23">
        <v>933.7</v>
      </c>
      <c r="G23">
        <v>1169.7</v>
      </c>
      <c r="H23">
        <v>0.017146</v>
      </c>
      <c r="I23">
        <v>10.5</v>
      </c>
    </row>
    <row r="24" spans="2:9" ht="12.75">
      <c r="B24">
        <v>30.3</v>
      </c>
      <c r="C24">
        <v>45</v>
      </c>
      <c r="D24">
        <v>274.44</v>
      </c>
      <c r="E24">
        <v>243.36</v>
      </c>
      <c r="F24">
        <v>928.6</v>
      </c>
      <c r="G24">
        <v>1172</v>
      </c>
      <c r="H24">
        <v>0.017209</v>
      </c>
      <c r="I24">
        <v>9.4</v>
      </c>
    </row>
    <row r="25" spans="2:9" ht="12.75">
      <c r="B25">
        <v>40.3</v>
      </c>
      <c r="C25">
        <v>55</v>
      </c>
      <c r="D25">
        <v>287.07</v>
      </c>
      <c r="E25">
        <v>256.3</v>
      </c>
      <c r="F25">
        <v>919.6</v>
      </c>
      <c r="G25">
        <v>1175.9</v>
      </c>
      <c r="H25">
        <v>0.017325</v>
      </c>
      <c r="I25">
        <v>7.79</v>
      </c>
    </row>
    <row r="26" spans="2:9" ht="12.75">
      <c r="B26">
        <v>50.3</v>
      </c>
      <c r="C26">
        <v>65</v>
      </c>
      <c r="D26">
        <v>297.97</v>
      </c>
      <c r="E26">
        <v>267.5</v>
      </c>
      <c r="F26">
        <v>911.6</v>
      </c>
      <c r="G26">
        <v>1179.1</v>
      </c>
      <c r="H26">
        <v>0.017429</v>
      </c>
      <c r="I26">
        <v>6.66</v>
      </c>
    </row>
    <row r="27" spans="2:9" ht="12.75">
      <c r="B27">
        <v>60.3</v>
      </c>
      <c r="C27">
        <v>75</v>
      </c>
      <c r="D27">
        <v>307.6</v>
      </c>
      <c r="E27">
        <v>277.43</v>
      </c>
      <c r="F27">
        <v>904.5</v>
      </c>
      <c r="G27">
        <v>1181.9</v>
      </c>
      <c r="H27">
        <v>0.017524</v>
      </c>
      <c r="I27">
        <v>5.82</v>
      </c>
    </row>
    <row r="28" spans="2:9" ht="12.75">
      <c r="B28">
        <v>70.3</v>
      </c>
      <c r="C28">
        <v>85</v>
      </c>
      <c r="D28">
        <v>316.25</v>
      </c>
      <c r="E28">
        <v>286.39</v>
      </c>
      <c r="F28">
        <v>897.8</v>
      </c>
      <c r="G28">
        <v>1184.2</v>
      </c>
      <c r="H28">
        <v>0.017613</v>
      </c>
      <c r="I28">
        <v>5.17</v>
      </c>
    </row>
    <row r="29" spans="2:9" ht="12.75">
      <c r="B29">
        <v>80.3</v>
      </c>
      <c r="C29">
        <v>95</v>
      </c>
      <c r="D29">
        <v>324.12</v>
      </c>
      <c r="E29">
        <v>294.56</v>
      </c>
      <c r="F29">
        <v>891.7</v>
      </c>
      <c r="G29">
        <v>1186.2</v>
      </c>
      <c r="H29">
        <v>0.017696</v>
      </c>
      <c r="I29">
        <v>4.65</v>
      </c>
    </row>
    <row r="30" spans="2:9" ht="12.75">
      <c r="B30">
        <v>90.3</v>
      </c>
      <c r="C30">
        <v>105</v>
      </c>
      <c r="D30">
        <v>331.36</v>
      </c>
      <c r="E30">
        <v>302.1</v>
      </c>
      <c r="F30">
        <v>886</v>
      </c>
      <c r="G30">
        <v>1188.1</v>
      </c>
      <c r="H30">
        <v>0.017775</v>
      </c>
      <c r="I30">
        <v>4.23</v>
      </c>
    </row>
    <row r="31" spans="2:9" ht="12.75">
      <c r="B31">
        <v>100</v>
      </c>
      <c r="C31">
        <v>114.7</v>
      </c>
      <c r="D31">
        <v>337.9</v>
      </c>
      <c r="E31">
        <v>308.8</v>
      </c>
      <c r="F31">
        <v>880</v>
      </c>
      <c r="G31">
        <v>1188.8</v>
      </c>
      <c r="H31">
        <v>0.01785</v>
      </c>
      <c r="I31">
        <v>3.88</v>
      </c>
    </row>
    <row r="32" spans="2:9" ht="12.75">
      <c r="B32">
        <v>110.3</v>
      </c>
      <c r="C32">
        <v>125</v>
      </c>
      <c r="D32">
        <v>344.33</v>
      </c>
      <c r="E32">
        <v>315.68</v>
      </c>
      <c r="F32">
        <v>875.4</v>
      </c>
      <c r="G32">
        <v>1191.1</v>
      </c>
      <c r="H32">
        <v>0.017922</v>
      </c>
      <c r="I32">
        <v>3.59</v>
      </c>
    </row>
    <row r="33" spans="2:9" ht="12.75">
      <c r="B33">
        <v>120.3</v>
      </c>
      <c r="C33">
        <v>135</v>
      </c>
      <c r="D33">
        <v>350.21</v>
      </c>
      <c r="E33">
        <v>321.85</v>
      </c>
      <c r="F33">
        <v>870.6</v>
      </c>
      <c r="G33">
        <v>1192.4</v>
      </c>
      <c r="H33">
        <v>0.017991</v>
      </c>
      <c r="I33">
        <v>3.33</v>
      </c>
    </row>
    <row r="34" spans="2:9" ht="12.75">
      <c r="B34">
        <v>125.3</v>
      </c>
      <c r="C34">
        <v>140</v>
      </c>
      <c r="D34">
        <v>353.02</v>
      </c>
      <c r="E34">
        <v>324.82</v>
      </c>
      <c r="F34">
        <v>868.2</v>
      </c>
      <c r="G34">
        <v>1193</v>
      </c>
      <c r="H34">
        <v>0.018024</v>
      </c>
      <c r="I34">
        <v>3.22</v>
      </c>
    </row>
    <row r="35" spans="2:9" ht="12.75">
      <c r="B35">
        <v>130.3</v>
      </c>
      <c r="C35">
        <v>145</v>
      </c>
      <c r="D35">
        <v>355.76</v>
      </c>
      <c r="E35">
        <v>327.7</v>
      </c>
      <c r="F35">
        <v>865.8</v>
      </c>
      <c r="G35">
        <v>1193.5</v>
      </c>
      <c r="H35">
        <v>0.018057</v>
      </c>
      <c r="I35">
        <v>3.11</v>
      </c>
    </row>
    <row r="36" spans="2:9" ht="12.75">
      <c r="B36">
        <v>140.3</v>
      </c>
      <c r="C36">
        <v>155</v>
      </c>
      <c r="D36">
        <v>360.5</v>
      </c>
      <c r="E36">
        <v>333.24</v>
      </c>
      <c r="F36">
        <v>861.3</v>
      </c>
      <c r="G36">
        <v>1194.6</v>
      </c>
      <c r="H36">
        <v>0.018121</v>
      </c>
      <c r="I36">
        <v>2.92</v>
      </c>
    </row>
    <row r="37" spans="2:9" ht="12.75">
      <c r="B37">
        <v>150.3</v>
      </c>
      <c r="C37">
        <v>165</v>
      </c>
      <c r="D37">
        <v>365.99</v>
      </c>
      <c r="E37">
        <v>338.53</v>
      </c>
      <c r="F37">
        <v>857.1</v>
      </c>
      <c r="G37">
        <v>1195.6</v>
      </c>
      <c r="H37">
        <v>0.018183</v>
      </c>
      <c r="I37">
        <v>2.75</v>
      </c>
    </row>
    <row r="38" spans="2:9" ht="12.75">
      <c r="B38">
        <v>160.3</v>
      </c>
      <c r="C38">
        <v>175</v>
      </c>
      <c r="D38">
        <v>370.75</v>
      </c>
      <c r="E38">
        <v>343.57</v>
      </c>
      <c r="F38">
        <v>852.8</v>
      </c>
      <c r="G38">
        <v>1196.5</v>
      </c>
      <c r="H38">
        <v>0.018244</v>
      </c>
      <c r="I38">
        <v>2.6</v>
      </c>
    </row>
    <row r="39" spans="2:9" ht="12.75">
      <c r="B39">
        <v>180.3</v>
      </c>
      <c r="C39">
        <v>195</v>
      </c>
      <c r="D39">
        <v>379.67</v>
      </c>
      <c r="E39">
        <v>353.1</v>
      </c>
      <c r="F39">
        <v>844.9</v>
      </c>
      <c r="G39">
        <v>1198</v>
      </c>
      <c r="H39">
        <v>0.01836</v>
      </c>
      <c r="I39">
        <v>2.34</v>
      </c>
    </row>
    <row r="40" spans="2:9" ht="12.75">
      <c r="B40">
        <v>200.3</v>
      </c>
      <c r="C40">
        <v>215</v>
      </c>
      <c r="D40">
        <v>387.89</v>
      </c>
      <c r="E40">
        <v>361.91</v>
      </c>
      <c r="F40">
        <v>837.4</v>
      </c>
      <c r="G40">
        <v>1199.3</v>
      </c>
      <c r="H40">
        <v>0.01847</v>
      </c>
      <c r="I40">
        <v>2.13</v>
      </c>
    </row>
    <row r="41" spans="2:9" ht="12.75">
      <c r="B41">
        <v>225.3</v>
      </c>
      <c r="C41">
        <v>240</v>
      </c>
      <c r="D41">
        <v>397.37</v>
      </c>
      <c r="E41">
        <v>372.12</v>
      </c>
      <c r="F41">
        <v>828.5</v>
      </c>
      <c r="G41">
        <v>1200.6</v>
      </c>
      <c r="H41">
        <v>0.018602</v>
      </c>
      <c r="I41">
        <v>1.92</v>
      </c>
    </row>
    <row r="42" spans="2:9" ht="12.75">
      <c r="B42">
        <v>250.3</v>
      </c>
      <c r="C42">
        <v>265</v>
      </c>
      <c r="D42">
        <v>406.11</v>
      </c>
      <c r="E42">
        <v>381.6</v>
      </c>
      <c r="F42">
        <v>820.1</v>
      </c>
      <c r="G42">
        <v>1201.7</v>
      </c>
      <c r="H42">
        <v>0.018728</v>
      </c>
      <c r="I42">
        <v>1.74</v>
      </c>
    </row>
    <row r="43" spans="3:9" ht="12.75">
      <c r="C43">
        <v>300</v>
      </c>
      <c r="D43">
        <v>417.33</v>
      </c>
      <c r="E43">
        <v>393.84</v>
      </c>
      <c r="F43">
        <v>809</v>
      </c>
      <c r="G43">
        <v>1202.8</v>
      </c>
      <c r="H43">
        <v>0.018896</v>
      </c>
      <c r="I43">
        <v>1.54</v>
      </c>
    </row>
    <row r="44" spans="3:9" ht="12.75">
      <c r="C44">
        <v>400</v>
      </c>
      <c r="D44">
        <v>444.59</v>
      </c>
      <c r="E44">
        <v>424</v>
      </c>
      <c r="F44">
        <v>780.5</v>
      </c>
      <c r="G44">
        <v>1204.5</v>
      </c>
      <c r="H44">
        <v>0.01934</v>
      </c>
      <c r="I44">
        <v>1.16</v>
      </c>
    </row>
    <row r="45" spans="3:9" ht="12.75">
      <c r="C45">
        <v>450</v>
      </c>
      <c r="D45">
        <v>456.28</v>
      </c>
      <c r="E45">
        <v>437.2</v>
      </c>
      <c r="F45">
        <v>767.4</v>
      </c>
      <c r="G45">
        <v>1204.6</v>
      </c>
      <c r="H45">
        <v>0.019547</v>
      </c>
      <c r="I45">
        <v>1.03</v>
      </c>
    </row>
    <row r="46" spans="3:9" ht="12.75">
      <c r="C46">
        <v>500</v>
      </c>
      <c r="D46">
        <v>467.01</v>
      </c>
      <c r="E46">
        <v>449.4</v>
      </c>
      <c r="F46">
        <v>755</v>
      </c>
      <c r="G46">
        <v>1204.4</v>
      </c>
      <c r="H46">
        <v>0.019748</v>
      </c>
      <c r="I46">
        <v>0.93</v>
      </c>
    </row>
    <row r="47" spans="3:9" ht="12.75">
      <c r="C47">
        <v>600</v>
      </c>
      <c r="D47">
        <v>486.21</v>
      </c>
      <c r="E47">
        <v>471.6</v>
      </c>
      <c r="F47">
        <v>731.6</v>
      </c>
      <c r="G47">
        <v>1203.2</v>
      </c>
      <c r="H47">
        <v>0.02013</v>
      </c>
      <c r="I47">
        <v>0.77</v>
      </c>
    </row>
    <row r="48" spans="3:9" ht="12.75">
      <c r="C48">
        <v>900</v>
      </c>
      <c r="D48">
        <v>531.98</v>
      </c>
      <c r="E48">
        <v>526.6</v>
      </c>
      <c r="F48">
        <v>668.8</v>
      </c>
      <c r="G48">
        <v>1195.4</v>
      </c>
      <c r="H48">
        <v>0.02123</v>
      </c>
      <c r="I48">
        <v>0.5</v>
      </c>
    </row>
    <row r="49" spans="3:9" ht="12.75">
      <c r="C49">
        <v>1200</v>
      </c>
      <c r="D49">
        <v>567.22</v>
      </c>
      <c r="E49">
        <v>571.7</v>
      </c>
      <c r="F49">
        <v>611.7</v>
      </c>
      <c r="G49">
        <v>1183.4</v>
      </c>
      <c r="H49">
        <v>0.02232</v>
      </c>
      <c r="I49">
        <v>0.36</v>
      </c>
    </row>
    <row r="50" spans="3:9" ht="12.75">
      <c r="C50">
        <v>1500</v>
      </c>
      <c r="D50">
        <v>596.23</v>
      </c>
      <c r="E50">
        <v>611.6</v>
      </c>
      <c r="F50">
        <v>556.3</v>
      </c>
      <c r="G50">
        <v>1167.9</v>
      </c>
      <c r="H50">
        <v>0.02346</v>
      </c>
      <c r="I50">
        <v>0.28</v>
      </c>
    </row>
    <row r="51" spans="3:9" ht="12.75">
      <c r="C51">
        <v>1700</v>
      </c>
      <c r="D51">
        <v>613.15</v>
      </c>
      <c r="E51">
        <v>636.3</v>
      </c>
      <c r="F51">
        <v>519.6</v>
      </c>
      <c r="G51">
        <v>1155.9</v>
      </c>
      <c r="H51">
        <v>0.02428</v>
      </c>
      <c r="I51">
        <v>0.24</v>
      </c>
    </row>
    <row r="52" spans="3:9" ht="12.75">
      <c r="C52">
        <v>2000</v>
      </c>
      <c r="D52">
        <v>635.82</v>
      </c>
      <c r="E52">
        <v>671.7</v>
      </c>
      <c r="F52">
        <v>463.4</v>
      </c>
      <c r="G52">
        <v>1135.1</v>
      </c>
      <c r="H52">
        <v>0.02565</v>
      </c>
      <c r="I52">
        <v>0.19</v>
      </c>
    </row>
    <row r="53" spans="3:9" ht="12.75">
      <c r="C53">
        <v>2500</v>
      </c>
      <c r="D53">
        <v>668.13</v>
      </c>
      <c r="E53">
        <v>730.6</v>
      </c>
      <c r="F53">
        <v>360.5</v>
      </c>
      <c r="G53">
        <v>1091.1</v>
      </c>
      <c r="H53">
        <v>0.0286</v>
      </c>
      <c r="I53">
        <v>0.13</v>
      </c>
    </row>
    <row r="54" spans="3:9" ht="12.75">
      <c r="C54">
        <v>2700</v>
      </c>
      <c r="D54">
        <v>679.55</v>
      </c>
      <c r="E54">
        <v>756.2</v>
      </c>
      <c r="F54">
        <v>312.1</v>
      </c>
      <c r="G54">
        <v>1068.3</v>
      </c>
      <c r="H54">
        <v>0.03027</v>
      </c>
      <c r="I54">
        <v>0.11</v>
      </c>
    </row>
    <row r="55" spans="3:9" ht="12.75">
      <c r="C55">
        <v>3206.2</v>
      </c>
      <c r="D55">
        <v>705.4</v>
      </c>
      <c r="E55">
        <v>902.7</v>
      </c>
      <c r="F55">
        <v>0</v>
      </c>
      <c r="G55">
        <v>902.7</v>
      </c>
      <c r="H55">
        <v>0.05053</v>
      </c>
      <c r="I55">
        <v>0.05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altfeather</dc:creator>
  <cp:keywords/>
  <dc:description/>
  <cp:lastModifiedBy>Tamara Kuiken</cp:lastModifiedBy>
  <cp:lastPrinted>2008-03-27T20:11:12Z</cp:lastPrinted>
  <dcterms:created xsi:type="dcterms:W3CDTF">2008-02-15T21:20:36Z</dcterms:created>
  <dcterms:modified xsi:type="dcterms:W3CDTF">2009-11-04T17:59:26Z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